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luminous/sites/RegA/Major Projects/BDE8CT/Shared Documents/16_RFI Responses/CA-NLH-018/"/>
    </mc:Choice>
  </mc:AlternateContent>
  <xr:revisionPtr revIDLastSave="0" documentId="13_ncr:1_{4E75F7DB-075F-46E4-B15E-1F706E95C8FD}" xr6:coauthVersionLast="47" xr6:coauthVersionMax="47" xr10:uidLastSave="{00000000-0000-0000-0000-000000000000}"/>
  <bookViews>
    <workbookView xWindow="-120" yWindow="-120" windowWidth="29040" windowHeight="15840" xr2:uid="{94C0611E-CCF2-4217-909F-B3E6D0416C9D}"/>
  </bookViews>
  <sheets>
    <sheet name="Annual Costs and NPV Calc" sheetId="5" r:id="rId1"/>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0" i="5" l="1"/>
  <c r="AF21" i="5"/>
  <c r="AE21" i="5"/>
  <c r="AD21" i="5"/>
  <c r="AC21" i="5"/>
  <c r="AB21" i="5"/>
  <c r="AA21" i="5"/>
  <c r="Z21" i="5"/>
  <c r="Y21" i="5"/>
  <c r="X21" i="5"/>
  <c r="W21" i="5"/>
  <c r="V21" i="5"/>
  <c r="U21" i="5"/>
  <c r="T21" i="5"/>
  <c r="S21" i="5"/>
  <c r="R21" i="5"/>
  <c r="Q21" i="5"/>
  <c r="P21" i="5"/>
  <c r="O21" i="5"/>
  <c r="N21" i="5"/>
  <c r="M21" i="5"/>
  <c r="L21" i="5"/>
  <c r="K21" i="5"/>
  <c r="J21" i="5"/>
  <c r="I21" i="5"/>
  <c r="H21" i="5"/>
  <c r="G21" i="5"/>
  <c r="F21" i="5"/>
  <c r="E21" i="5"/>
  <c r="D21" i="5"/>
  <c r="C21" i="5"/>
  <c r="AF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D20" i="5"/>
  <c r="B5" i="5"/>
  <c r="I27" i="5"/>
  <c r="I28" i="5"/>
  <c r="I29" i="5"/>
  <c r="I30" i="5"/>
  <c r="I31" i="5"/>
  <c r="I33" i="5"/>
  <c r="I34" i="5"/>
  <c r="I35" i="5"/>
  <c r="I36" i="5"/>
  <c r="I37" i="5"/>
  <c r="I38" i="5"/>
  <c r="I39" i="5"/>
  <c r="I40" i="5"/>
  <c r="I41" i="5"/>
  <c r="I42" i="5"/>
  <c r="I43" i="5"/>
  <c r="I44" i="5"/>
  <c r="I45" i="5"/>
  <c r="I46" i="5"/>
  <c r="I32" i="5"/>
  <c r="H25" i="5" l="1"/>
  <c r="AU16" i="5"/>
  <c r="AT16" i="5"/>
  <c r="AS16" i="5"/>
  <c r="AR16" i="5"/>
  <c r="AQ16" i="5"/>
  <c r="AP16" i="5"/>
  <c r="AO16" i="5"/>
  <c r="AN16" i="5"/>
  <c r="AM16" i="5"/>
  <c r="AL16" i="5"/>
  <c r="AK16" i="5"/>
  <c r="AJ16" i="5"/>
  <c r="AI16" i="5"/>
  <c r="AH16" i="5"/>
  <c r="AG16" i="5"/>
  <c r="AF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C22" i="5"/>
  <c r="D42" i="5"/>
  <c r="D46" i="5"/>
  <c r="D45" i="5"/>
  <c r="D44" i="5"/>
  <c r="D43" i="5"/>
  <c r="D22" i="5"/>
  <c r="E22" i="5"/>
  <c r="F22" i="5"/>
  <c r="G22" i="5"/>
  <c r="H22" i="5"/>
  <c r="I22" i="5"/>
  <c r="J22" i="5"/>
  <c r="K22" i="5"/>
  <c r="L22" i="5"/>
  <c r="M22" i="5"/>
  <c r="N22" i="5"/>
  <c r="O22" i="5"/>
  <c r="P22" i="5"/>
  <c r="Q22" i="5"/>
  <c r="B62" i="5"/>
  <c r="B63" i="5" l="1"/>
  <c r="AG21" i="5"/>
  <c r="AG20" i="5"/>
  <c r="H32" i="5"/>
  <c r="H36" i="5"/>
  <c r="H41" i="5"/>
  <c r="H34" i="5"/>
  <c r="H38" i="5"/>
  <c r="H42" i="5"/>
  <c r="H46" i="5"/>
  <c r="H40" i="5"/>
  <c r="H35" i="5"/>
  <c r="H39" i="5"/>
  <c r="H43" i="5"/>
  <c r="H33" i="5"/>
  <c r="H45" i="5"/>
  <c r="H44" i="5"/>
  <c r="H37" i="5"/>
  <c r="E46" i="5"/>
  <c r="C47" i="5" s="1"/>
  <c r="B64" i="5"/>
  <c r="AI21" i="5" l="1"/>
  <c r="AI20" i="5"/>
  <c r="C48" i="5"/>
  <c r="H47" i="5"/>
  <c r="I47" i="5"/>
  <c r="AH21" i="5"/>
  <c r="AH20" i="5"/>
  <c r="R22" i="5"/>
  <c r="B65" i="5"/>
  <c r="S22" i="5" l="1"/>
  <c r="AJ20" i="5"/>
  <c r="AJ21" i="5"/>
  <c r="H48" i="5"/>
  <c r="I48" i="5"/>
  <c r="C49" i="5"/>
  <c r="C50" i="5"/>
  <c r="T22" i="5"/>
  <c r="B66" i="5"/>
  <c r="AK20" i="5" l="1"/>
  <c r="AK21" i="5"/>
  <c r="H50" i="5"/>
  <c r="I50" i="5"/>
  <c r="I49" i="5"/>
  <c r="H49" i="5"/>
  <c r="C51" i="5"/>
  <c r="U22" i="5"/>
  <c r="B67" i="5"/>
  <c r="H51" i="5" l="1"/>
  <c r="I51" i="5"/>
  <c r="V22" i="5"/>
  <c r="AL20" i="5"/>
  <c r="AL21" i="5"/>
  <c r="C52" i="5"/>
  <c r="B68" i="5"/>
  <c r="AM20" i="5" l="1"/>
  <c r="AM21" i="5"/>
  <c r="H52" i="5"/>
  <c r="W22" i="5"/>
  <c r="I52" i="5"/>
  <c r="C53" i="5"/>
  <c r="B69" i="5"/>
  <c r="X22" i="5" l="1"/>
  <c r="I53" i="5"/>
  <c r="H53" i="5"/>
  <c r="AN20" i="5"/>
  <c r="AN21" i="5"/>
  <c r="C54" i="5"/>
  <c r="B70" i="5"/>
  <c r="AO21" i="5" l="1"/>
  <c r="AO20" i="5"/>
  <c r="Y22" i="5"/>
  <c r="H54" i="5"/>
  <c r="I54" i="5"/>
  <c r="C55" i="5"/>
  <c r="B71" i="5"/>
  <c r="AP21" i="5" l="1"/>
  <c r="AP20" i="5"/>
  <c r="Z22" i="5"/>
  <c r="H55" i="5"/>
  <c r="I55" i="5"/>
  <c r="C56" i="5"/>
  <c r="B72" i="5"/>
  <c r="AQ21" i="5" l="1"/>
  <c r="AQ20" i="5"/>
  <c r="H56" i="5"/>
  <c r="AA22" i="5"/>
  <c r="I56" i="5"/>
  <c r="C57" i="5"/>
  <c r="B73" i="5"/>
  <c r="I57" i="5" l="1"/>
  <c r="AB22" i="5"/>
  <c r="H57" i="5"/>
  <c r="AR20" i="5"/>
  <c r="AR21" i="5"/>
  <c r="C58" i="5"/>
  <c r="B74" i="5"/>
  <c r="AS20" i="5" l="1"/>
  <c r="AS21" i="5"/>
  <c r="H58" i="5"/>
  <c r="I58" i="5"/>
  <c r="AC22" i="5"/>
  <c r="C59" i="5"/>
  <c r="B75" i="5"/>
  <c r="H59" i="5" l="1"/>
  <c r="I59" i="5"/>
  <c r="AD22" i="5"/>
  <c r="AT20" i="5"/>
  <c r="AT21" i="5"/>
  <c r="C60" i="5"/>
  <c r="B76" i="5"/>
  <c r="AU20" i="5" l="1"/>
  <c r="A20" i="5" s="1"/>
  <c r="AU21" i="5"/>
  <c r="A21" i="5" s="1"/>
  <c r="AE22" i="5"/>
  <c r="H60" i="5"/>
  <c r="I60" i="5"/>
  <c r="C61" i="5"/>
  <c r="AF22" i="5" l="1"/>
  <c r="I61" i="5"/>
  <c r="H61" i="5"/>
  <c r="C62" i="5"/>
  <c r="AG22" i="5" l="1"/>
  <c r="H62" i="5"/>
  <c r="I62" i="5"/>
  <c r="C63" i="5"/>
  <c r="AH22" i="5" l="1"/>
  <c r="H63" i="5"/>
  <c r="I63" i="5"/>
  <c r="C64" i="5"/>
  <c r="H64" i="5" l="1"/>
  <c r="AI22" i="5"/>
  <c r="I64" i="5"/>
  <c r="C65" i="5"/>
  <c r="I65" i="5" l="1"/>
  <c r="H65" i="5"/>
  <c r="AJ22" i="5"/>
  <c r="C66" i="5"/>
  <c r="H66" i="5" l="1"/>
  <c r="I66" i="5"/>
  <c r="AK22" i="5"/>
  <c r="C67" i="5"/>
  <c r="H67" i="5" l="1"/>
  <c r="I67" i="5"/>
  <c r="AL22" i="5"/>
  <c r="C68" i="5"/>
  <c r="H68" i="5" l="1"/>
  <c r="AM22" i="5"/>
  <c r="I68" i="5"/>
  <c r="C69" i="5"/>
  <c r="AN22" i="5" l="1"/>
  <c r="I69" i="5"/>
  <c r="H69" i="5"/>
  <c r="C70" i="5"/>
  <c r="AO22" i="5" l="1"/>
  <c r="H70" i="5"/>
  <c r="I70" i="5"/>
  <c r="C71" i="5"/>
  <c r="AP22" i="5" l="1"/>
  <c r="H71" i="5"/>
  <c r="I71" i="5"/>
  <c r="C72" i="5"/>
  <c r="AQ22" i="5" l="1"/>
  <c r="H72" i="5"/>
  <c r="I72" i="5"/>
  <c r="C73" i="5"/>
  <c r="I73" i="5" l="1"/>
  <c r="H73" i="5"/>
  <c r="AR22" i="5"/>
  <c r="C74" i="5"/>
  <c r="H74" i="5" l="1"/>
  <c r="I74" i="5"/>
  <c r="AS22" i="5"/>
  <c r="C75" i="5"/>
  <c r="I75" i="5" l="1"/>
  <c r="H75" i="5"/>
  <c r="AT22" i="5"/>
  <c r="C76" i="5"/>
  <c r="H76" i="5" l="1"/>
  <c r="AU22" i="5"/>
  <c r="A22" i="5" s="1"/>
  <c r="I76" i="5"/>
  <c r="B10" i="5" l="1"/>
  <c r="B11" i="5" s="1"/>
  <c r="C19" i="5" l="1"/>
  <c r="AR19" i="5"/>
  <c r="AR23" i="5" s="1"/>
  <c r="AJ19" i="5"/>
  <c r="AJ23" i="5" s="1"/>
  <c r="AB19" i="5"/>
  <c r="AB23" i="5" s="1"/>
  <c r="T19" i="5"/>
  <c r="T23" i="5" s="1"/>
  <c r="L19" i="5"/>
  <c r="D19" i="5"/>
  <c r="Q19" i="5"/>
  <c r="Q23" i="5" s="1"/>
  <c r="AF19" i="5"/>
  <c r="AF23" i="5" s="1"/>
  <c r="H19" i="5"/>
  <c r="W19" i="5"/>
  <c r="W23" i="5" s="1"/>
  <c r="AL19" i="5"/>
  <c r="AL23" i="5" s="1"/>
  <c r="N19" i="5"/>
  <c r="AS19" i="5"/>
  <c r="AS23" i="5" s="1"/>
  <c r="E19" i="5"/>
  <c r="AQ19" i="5"/>
  <c r="AQ23" i="5" s="1"/>
  <c r="AI19" i="5"/>
  <c r="AI23" i="5" s="1"/>
  <c r="AA19" i="5"/>
  <c r="AA23" i="5" s="1"/>
  <c r="S19" i="5"/>
  <c r="S23" i="5" s="1"/>
  <c r="K19" i="5"/>
  <c r="I19" i="5"/>
  <c r="X19" i="5"/>
  <c r="X23" i="5" s="1"/>
  <c r="AM19" i="5"/>
  <c r="AM23" i="5" s="1"/>
  <c r="G19" i="5"/>
  <c r="AD19" i="5"/>
  <c r="AD23" i="5" s="1"/>
  <c r="F19" i="5"/>
  <c r="AC19" i="5"/>
  <c r="AC23" i="5" s="1"/>
  <c r="AP19" i="5"/>
  <c r="AP23" i="5" s="1"/>
  <c r="AH19" i="5"/>
  <c r="AH23" i="5" s="1"/>
  <c r="Z19" i="5"/>
  <c r="Z23" i="5" s="1"/>
  <c r="R19" i="5"/>
  <c r="R23" i="5" s="1"/>
  <c r="J19" i="5"/>
  <c r="AK19" i="5"/>
  <c r="AK23" i="5" s="1"/>
  <c r="AO19" i="5"/>
  <c r="AO23" i="5" s="1"/>
  <c r="AG19" i="5"/>
  <c r="AG23" i="5" s="1"/>
  <c r="Y19" i="5"/>
  <c r="Y23" i="5" s="1"/>
  <c r="P19" i="5"/>
  <c r="AE19" i="5"/>
  <c r="AE23" i="5" s="1"/>
  <c r="O19" i="5"/>
  <c r="V19" i="5"/>
  <c r="V23" i="5" s="1"/>
  <c r="U19" i="5"/>
  <c r="U23" i="5" s="1"/>
  <c r="AN19" i="5"/>
  <c r="AN23" i="5" s="1"/>
  <c r="M19" i="5"/>
  <c r="AU19" i="5"/>
  <c r="AU23" i="5" s="1"/>
  <c r="AT19" i="5"/>
  <c r="AT23" i="5" s="1"/>
  <c r="O23" i="5" l="1"/>
  <c r="E23" i="5"/>
  <c r="L23" i="5"/>
  <c r="P23" i="5"/>
  <c r="N23" i="5"/>
  <c r="K23" i="5"/>
  <c r="M23" i="5"/>
  <c r="J23" i="5"/>
  <c r="D23" i="5"/>
  <c r="G23" i="5"/>
  <c r="I23" i="5"/>
  <c r="F23" i="5"/>
  <c r="H23" i="5"/>
  <c r="C23" i="5"/>
  <c r="A19" i="5"/>
  <c r="A2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Pryse-Phillips</author>
  </authors>
  <commentList>
    <comment ref="B26" authorId="0" shapeId="0" xr:uid="{6A541206-3CF7-42E9-9755-418FA48B44C6}">
      <text>
        <r>
          <rPr>
            <b/>
            <sz val="9"/>
            <color indexed="81"/>
            <rFont val="Tahoma"/>
            <family val="2"/>
          </rPr>
          <t>Amy Pryse-Phillips:</t>
        </r>
        <r>
          <rPr>
            <sz val="9"/>
            <color indexed="81"/>
            <rFont val="Tahoma"/>
            <family val="2"/>
          </rPr>
          <t xml:space="preserve">
June 2026 Corporate Assumptions with 2% inflation assumed from 2025 to 2026, and beyond 2060.</t>
        </r>
      </text>
    </comment>
    <comment ref="C26" authorId="0" shapeId="0" xr:uid="{2E4207B4-308C-4A0E-8586-5BF4ACE801A8}">
      <text>
        <r>
          <rPr>
            <b/>
            <sz val="9"/>
            <color indexed="81"/>
            <rFont val="Tahoma"/>
            <family val="2"/>
          </rPr>
          <t>Amy Pryse-Phillips:</t>
        </r>
        <r>
          <rPr>
            <sz val="9"/>
            <color indexed="81"/>
            <rFont val="Tahoma"/>
            <family val="2"/>
          </rPr>
          <t xml:space="preserve">
June 2026 Corporate Assumptions to 2060, then escalated at 2.3% per year.</t>
        </r>
      </text>
    </comment>
  </commentList>
</comments>
</file>

<file path=xl/sharedStrings.xml><?xml version="1.0" encoding="utf-8"?>
<sst xmlns="http://schemas.openxmlformats.org/spreadsheetml/2006/main" count="49" uniqueCount="40">
  <si>
    <t>NPV ($M)</t>
  </si>
  <si>
    <t>Fuel Cost</t>
  </si>
  <si>
    <t>WACC</t>
  </si>
  <si>
    <t>$/kW</t>
  </si>
  <si>
    <t>Real Annuity Factor</t>
  </si>
  <si>
    <t>GWh</t>
  </si>
  <si>
    <t>Capacity</t>
  </si>
  <si>
    <t>Build Cost</t>
  </si>
  <si>
    <t>MW</t>
  </si>
  <si>
    <t>Fixed O&amp;M Cost</t>
  </si>
  <si>
    <t>Variable O&amp;M Cost</t>
  </si>
  <si>
    <t>$/MWh</t>
  </si>
  <si>
    <t>Note all costs are in 2025 dollars</t>
  </si>
  <si>
    <t>escalated</t>
  </si>
  <si>
    <t>Depreciable Life</t>
  </si>
  <si>
    <t>years</t>
  </si>
  <si>
    <t>Annuity</t>
  </si>
  <si>
    <t>$000</t>
  </si>
  <si>
    <t>O&amp;M Escalation</t>
  </si>
  <si>
    <t>Total Annual Costs by Component ($000)</t>
  </si>
  <si>
    <t>Estimated annual gen</t>
  </si>
  <si>
    <t>Fuel Price (CDN$/L)</t>
  </si>
  <si>
    <t>Heat Rate</t>
  </si>
  <si>
    <t>GJ/GWh</t>
  </si>
  <si>
    <t>Diesel Energy Content</t>
  </si>
  <si>
    <t>MJ/L</t>
  </si>
  <si>
    <t>yr over yr increase</t>
  </si>
  <si>
    <t>avg</t>
  </si>
  <si>
    <t>discount factor</t>
  </si>
  <si>
    <t>Total ($M)</t>
  </si>
  <si>
    <t>$/MWh Avalon CT</t>
  </si>
  <si>
    <t>$/MWh Holyrood CT</t>
  </si>
  <si>
    <t>heat rate (GJ/GWh)</t>
  </si>
  <si>
    <t>CA-NLH 018</t>
  </si>
  <si>
    <t>n/a</t>
  </si>
  <si>
    <t>Notes:</t>
  </si>
  <si>
    <t>See Note 1</t>
  </si>
  <si>
    <t>See Note 2</t>
  </si>
  <si>
    <t>2. Fuel burn off not included.</t>
  </si>
  <si>
    <t>1. Avalon CT Estimate combined the CT cost in 2025 dollars with the balance of plant costs in 2024 dollars. To obtain the Build Cost for this table, the costs in 2024 dollars were escalated to 2025 dollars. The Estimate had the unit coming into service in 2030, therefore this table also includes an escalation from 2030 to 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</si>
</sst>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2" x14ac:knownFonts="1">
    <font>
      <sz val="11"/>
      <color theme="1"/>
      <name val="Calibri"/>
      <family val="2"/>
      <scheme val="minor"/>
    </font>
    <font>
      <sz val="11"/>
      <color theme="1"/>
      <name val="Calibri"/>
      <family val="2"/>
      <scheme val="minor"/>
    </font>
    <font>
      <sz val="11"/>
      <color theme="8"/>
      <name val="Calibri"/>
      <family val="2"/>
      <scheme val="minor"/>
    </font>
    <font>
      <b/>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sz val="11"/>
      <color theme="9" tint="0.39997558519241921"/>
      <name val="Calibri"/>
      <family val="2"/>
      <scheme val="minor"/>
    </font>
    <font>
      <sz val="11"/>
      <color theme="5" tint="0.39997558519241921"/>
      <name val="Calibri"/>
      <family val="2"/>
      <scheme val="minor"/>
    </font>
    <font>
      <b/>
      <sz val="11"/>
      <color theme="5" tint="0.39997558519241921"/>
      <name val="Calibri"/>
      <family val="2"/>
      <scheme val="minor"/>
    </font>
    <font>
      <b/>
      <u/>
      <sz val="11"/>
      <color theme="1"/>
      <name val="Calibri"/>
      <family val="2"/>
      <scheme val="minor"/>
    </font>
    <font>
      <sz val="1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3" fillId="0" borderId="0" xfId="0" applyFont="1"/>
    <xf numFmtId="0" fontId="0" fillId="0" borderId="0" xfId="0" applyAlignment="1">
      <alignment horizontal="right"/>
    </xf>
    <xf numFmtId="0" fontId="4" fillId="0" borderId="0" xfId="0" applyFont="1"/>
    <xf numFmtId="2" fontId="2" fillId="0" borderId="0" xfId="0" applyNumberFormat="1" applyFont="1"/>
    <xf numFmtId="166" fontId="0" fillId="0" borderId="0" xfId="3" applyNumberFormat="1" applyFont="1"/>
    <xf numFmtId="0" fontId="0" fillId="0" borderId="0" xfId="0" applyAlignment="1">
      <alignment wrapText="1"/>
    </xf>
    <xf numFmtId="0" fontId="0" fillId="0" borderId="1" xfId="0" applyBorder="1"/>
    <xf numFmtId="43" fontId="0" fillId="0" borderId="0" xfId="0" applyNumberFormat="1"/>
    <xf numFmtId="44" fontId="0" fillId="0" borderId="0" xfId="2" applyFont="1"/>
    <xf numFmtId="165" fontId="0" fillId="0" borderId="0" xfId="2" applyNumberFormat="1" applyFont="1"/>
    <xf numFmtId="165" fontId="0" fillId="0" borderId="0" xfId="0" applyNumberFormat="1"/>
    <xf numFmtId="2" fontId="0" fillId="0" borderId="0" xfId="0" applyNumberFormat="1"/>
    <xf numFmtId="164" fontId="0" fillId="0" borderId="0" xfId="1" applyNumberFormat="1" applyFont="1"/>
    <xf numFmtId="164" fontId="0" fillId="0" borderId="0" xfId="0" applyNumberFormat="1"/>
    <xf numFmtId="43" fontId="3" fillId="0" borderId="0" xfId="0" applyNumberFormat="1" applyFont="1"/>
    <xf numFmtId="44" fontId="7" fillId="0" borderId="0" xfId="0" applyNumberFormat="1" applyFont="1"/>
    <xf numFmtId="44" fontId="0" fillId="0" borderId="1" xfId="2" applyFont="1" applyBorder="1"/>
    <xf numFmtId="2" fontId="0" fillId="0" borderId="1" xfId="0" applyNumberFormat="1" applyBorder="1"/>
    <xf numFmtId="166" fontId="0" fillId="0" borderId="0" xfId="0" applyNumberFormat="1"/>
    <xf numFmtId="0" fontId="9" fillId="0" borderId="0" xfId="0" applyFont="1"/>
    <xf numFmtId="165" fontId="4" fillId="0" borderId="0" xfId="2" applyNumberFormat="1" applyFont="1"/>
    <xf numFmtId="165" fontId="4" fillId="0" borderId="0" xfId="0" applyNumberFormat="1" applyFont="1"/>
    <xf numFmtId="165" fontId="4" fillId="0" borderId="1" xfId="2" applyNumberFormat="1" applyFont="1" applyBorder="1"/>
    <xf numFmtId="0" fontId="0" fillId="0" borderId="1" xfId="0" applyBorder="1" applyAlignment="1">
      <alignment horizontal="right"/>
    </xf>
    <xf numFmtId="165" fontId="0" fillId="0" borderId="1" xfId="2" applyNumberFormat="1" applyFont="1" applyBorder="1"/>
    <xf numFmtId="0" fontId="4" fillId="0" borderId="0" xfId="0" applyFont="1" applyAlignment="1">
      <alignment horizontal="right"/>
    </xf>
    <xf numFmtId="0" fontId="0" fillId="0" borderId="2" xfId="0" applyBorder="1" applyAlignment="1">
      <alignment horizontal="right"/>
    </xf>
    <xf numFmtId="0" fontId="0" fillId="0" borderId="2" xfId="0" applyBorder="1"/>
    <xf numFmtId="0" fontId="0" fillId="0" borderId="2" xfId="0" quotePrefix="1" applyBorder="1"/>
    <xf numFmtId="164" fontId="0" fillId="0" borderId="2" xfId="1" applyNumberFormat="1" applyFont="1" applyBorder="1"/>
    <xf numFmtId="6" fontId="0" fillId="0" borderId="0" xfId="0" applyNumberFormat="1" applyAlignment="1">
      <alignment wrapText="1"/>
    </xf>
    <xf numFmtId="8" fontId="0" fillId="0" borderId="0" xfId="0" applyNumberFormat="1"/>
    <xf numFmtId="0" fontId="8" fillId="0" borderId="0" xfId="0" applyFont="1" applyAlignment="1">
      <alignment horizontal="right"/>
    </xf>
    <xf numFmtId="0" fontId="9" fillId="0" borderId="0" xfId="0" applyFont="1" applyAlignment="1">
      <alignment horizontal="center"/>
    </xf>
    <xf numFmtId="0" fontId="10" fillId="0" borderId="0" xfId="0" applyFont="1"/>
    <xf numFmtId="0" fontId="11" fillId="0" borderId="0" xfId="0" applyFont="1"/>
    <xf numFmtId="165" fontId="11" fillId="0" borderId="2" xfId="2" applyNumberFormat="1" applyFont="1" applyBorder="1"/>
    <xf numFmtId="44" fontId="11" fillId="0" borderId="2" xfId="2" applyFont="1" applyBorder="1"/>
    <xf numFmtId="0" fontId="11" fillId="0" borderId="2" xfId="0" applyFont="1" applyBorder="1"/>
    <xf numFmtId="10" fontId="11" fillId="0" borderId="2" xfId="0" applyNumberFormat="1" applyFont="1" applyBorder="1"/>
    <xf numFmtId="43" fontId="11" fillId="0" borderId="2" xfId="1" applyFont="1" applyBorder="1"/>
    <xf numFmtId="164" fontId="11" fillId="0" borderId="2" xfId="1" applyNumberFormat="1" applyFont="1" applyBorder="1"/>
    <xf numFmtId="43" fontId="11" fillId="0" borderId="0" xfId="0" applyNumberFormat="1" applyFon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F62E-8522-47F7-BABD-E3BB1A267623}">
  <dimension ref="A1:AU80"/>
  <sheetViews>
    <sheetView tabSelected="1" zoomScale="70" zoomScaleNormal="70" workbookViewId="0">
      <pane ySplit="26" topLeftCell="A72" activePane="bottomLeft" state="frozen"/>
      <selection pane="bottomLeft" activeCell="L77" sqref="L77"/>
    </sheetView>
  </sheetViews>
  <sheetFormatPr defaultRowHeight="15" x14ac:dyDescent="0.25"/>
  <cols>
    <col min="1" max="1" width="23.85546875" customWidth="1"/>
    <col min="2" max="2" width="19.5703125" customWidth="1"/>
    <col min="3" max="3" width="10.5703125" bestFit="1" customWidth="1"/>
    <col min="4" max="4" width="9.42578125" bestFit="1" customWidth="1"/>
    <col min="5" max="5" width="12.5703125" customWidth="1"/>
    <col min="6" max="7" width="10.5703125" bestFit="1" customWidth="1"/>
    <col min="8" max="8" width="12" bestFit="1" customWidth="1"/>
    <col min="9" max="9" width="11.7109375" customWidth="1"/>
    <col min="13" max="13" width="11.5703125" bestFit="1" customWidth="1"/>
  </cols>
  <sheetData>
    <row r="1" spans="1:47" x14ac:dyDescent="0.25">
      <c r="A1" s="3" t="s">
        <v>33</v>
      </c>
      <c r="D1" s="1"/>
    </row>
    <row r="2" spans="1:47" x14ac:dyDescent="0.25">
      <c r="A2" t="s">
        <v>12</v>
      </c>
    </row>
    <row r="4" spans="1:47" x14ac:dyDescent="0.25">
      <c r="A4" s="27" t="s">
        <v>6</v>
      </c>
      <c r="B4" s="28">
        <v>141.6</v>
      </c>
      <c r="C4" s="28" t="s">
        <v>8</v>
      </c>
    </row>
    <row r="5" spans="1:47" x14ac:dyDescent="0.25">
      <c r="A5" s="27" t="s">
        <v>7</v>
      </c>
      <c r="B5" s="37">
        <f>6297*1.023091</f>
        <v>6442.4040269999996</v>
      </c>
      <c r="C5" s="28" t="s">
        <v>3</v>
      </c>
      <c r="D5" t="s">
        <v>36</v>
      </c>
    </row>
    <row r="6" spans="1:47" x14ac:dyDescent="0.25">
      <c r="A6" s="27" t="s">
        <v>9</v>
      </c>
      <c r="B6" s="38">
        <v>21.13</v>
      </c>
      <c r="C6" s="28" t="s">
        <v>3</v>
      </c>
      <c r="D6" t="s">
        <v>13</v>
      </c>
    </row>
    <row r="7" spans="1:47" x14ac:dyDescent="0.25">
      <c r="A7" s="27" t="s">
        <v>10</v>
      </c>
      <c r="B7" s="38">
        <v>6.34</v>
      </c>
      <c r="C7" s="28" t="s">
        <v>11</v>
      </c>
      <c r="D7" t="s">
        <v>13</v>
      </c>
    </row>
    <row r="8" spans="1:47" x14ac:dyDescent="0.25">
      <c r="A8" s="27" t="s">
        <v>14</v>
      </c>
      <c r="B8" s="39">
        <v>45</v>
      </c>
      <c r="C8" s="28" t="s">
        <v>15</v>
      </c>
    </row>
    <row r="9" spans="1:47" x14ac:dyDescent="0.25">
      <c r="A9" s="27" t="s">
        <v>2</v>
      </c>
      <c r="B9" s="40">
        <v>5.8999999999999997E-2</v>
      </c>
      <c r="C9" s="28"/>
    </row>
    <row r="10" spans="1:47" x14ac:dyDescent="0.25">
      <c r="A10" s="27" t="s">
        <v>4</v>
      </c>
      <c r="B10" s="41">
        <f>(1-(1+$B$9)^-$B$8)/$B$9</f>
        <v>15.66436953631146</v>
      </c>
      <c r="C10" s="28"/>
    </row>
    <row r="11" spans="1:47" x14ac:dyDescent="0.25">
      <c r="A11" s="27" t="s">
        <v>16</v>
      </c>
      <c r="B11" s="37">
        <f>B5*B4*1000/B10/1000</f>
        <v>58236.905616184093</v>
      </c>
      <c r="C11" s="29" t="s">
        <v>17</v>
      </c>
    </row>
    <row r="12" spans="1:47" x14ac:dyDescent="0.25">
      <c r="A12" s="27" t="s">
        <v>20</v>
      </c>
      <c r="B12" s="42">
        <v>20</v>
      </c>
      <c r="C12" s="29" t="s">
        <v>5</v>
      </c>
      <c r="D12" s="43" t="s">
        <v>37</v>
      </c>
      <c r="E12" s="8"/>
      <c r="F12" s="15"/>
    </row>
    <row r="13" spans="1:47" x14ac:dyDescent="0.25">
      <c r="A13" s="27" t="s">
        <v>22</v>
      </c>
      <c r="B13" s="30">
        <v>9167</v>
      </c>
      <c r="C13" s="29" t="s">
        <v>23</v>
      </c>
      <c r="D13" s="1"/>
      <c r="E13" s="8"/>
      <c r="V13" s="1"/>
    </row>
    <row r="14" spans="1:47" x14ac:dyDescent="0.25">
      <c r="A14" s="27" t="s">
        <v>24</v>
      </c>
      <c r="B14" s="28">
        <v>38.5</v>
      </c>
      <c r="C14" s="28" t="s">
        <v>25</v>
      </c>
    </row>
    <row r="15" spans="1:47" x14ac:dyDescent="0.25">
      <c r="U15" s="33"/>
      <c r="V15" s="34"/>
    </row>
    <row r="16" spans="1:47" x14ac:dyDescent="0.25">
      <c r="B16" s="2" t="s">
        <v>28</v>
      </c>
      <c r="C16" s="12">
        <f>1/(1+$B$9)^(C$18-2025)</f>
        <v>0.70896409199801358</v>
      </c>
      <c r="D16" s="12">
        <f t="shared" ref="D16:AU16" si="0">1/(1+$B$9)^(D$18-2025)</f>
        <v>0.66946562039472479</v>
      </c>
      <c r="E16" s="12">
        <f t="shared" si="0"/>
        <v>0.63216772464091109</v>
      </c>
      <c r="F16" s="12">
        <f t="shared" si="0"/>
        <v>0.59694780419349491</v>
      </c>
      <c r="G16" s="12">
        <f t="shared" si="0"/>
        <v>0.56369008894569872</v>
      </c>
      <c r="H16" s="12">
        <f t="shared" si="0"/>
        <v>0.53228525868337928</v>
      </c>
      <c r="I16" s="12">
        <f t="shared" si="0"/>
        <v>0.50263008374256779</v>
      </c>
      <c r="J16" s="12">
        <f t="shared" si="0"/>
        <v>0.47462708568703288</v>
      </c>
      <c r="K16" s="12">
        <f t="shared" si="0"/>
        <v>0.44818421689049381</v>
      </c>
      <c r="L16" s="12">
        <f t="shared" si="0"/>
        <v>0.42321455797024909</v>
      </c>
      <c r="M16" s="12">
        <f t="shared" si="0"/>
        <v>0.39963603207766679</v>
      </c>
      <c r="N16" s="12">
        <f t="shared" si="0"/>
        <v>0.37737113510638981</v>
      </c>
      <c r="O16" s="12">
        <f t="shared" si="0"/>
        <v>0.35634668093143512</v>
      </c>
      <c r="P16" s="12">
        <f t="shared" si="0"/>
        <v>0.33649356084177068</v>
      </c>
      <c r="Q16" s="12">
        <f t="shared" si="0"/>
        <v>0.31774651637560969</v>
      </c>
      <c r="R16" s="12">
        <f t="shared" si="0"/>
        <v>0.30004392481171832</v>
      </c>
      <c r="S16" s="12">
        <f t="shared" si="0"/>
        <v>0.28332759661163209</v>
      </c>
      <c r="T16" s="12">
        <f t="shared" si="0"/>
        <v>0.2675425841469613</v>
      </c>
      <c r="U16" s="12">
        <f t="shared" si="0"/>
        <v>0.25263700108306075</v>
      </c>
      <c r="V16" s="12">
        <f t="shared" si="0"/>
        <v>0.2385618518253643</v>
      </c>
      <c r="W16" s="12">
        <f t="shared" si="0"/>
        <v>0.22527087046776612</v>
      </c>
      <c r="X16" s="12">
        <f t="shared" si="0"/>
        <v>0.21272036871366015</v>
      </c>
      <c r="Y16" s="12">
        <f t="shared" si="0"/>
        <v>0.20086909226974517</v>
      </c>
      <c r="Z16" s="12">
        <f t="shared" si="0"/>
        <v>0.18967808524055257</v>
      </c>
      <c r="AA16" s="12">
        <f t="shared" si="0"/>
        <v>0.17911056207795337</v>
      </c>
      <c r="AB16" s="12">
        <f t="shared" si="0"/>
        <v>0.16913178666473405</v>
      </c>
      <c r="AC16" s="12">
        <f t="shared" si="0"/>
        <v>0.15970895813478192</v>
      </c>
      <c r="AD16" s="12">
        <f t="shared" si="0"/>
        <v>0.15081110305456272</v>
      </c>
      <c r="AE16" s="12">
        <f t="shared" si="0"/>
        <v>0.14240897361148511</v>
      </c>
      <c r="AF16" s="12">
        <f t="shared" si="0"/>
        <v>0.13447495147449021</v>
      </c>
      <c r="AG16" s="12">
        <f t="shared" si="0"/>
        <v>0.12698295701085002</v>
      </c>
      <c r="AH16" s="12">
        <f t="shared" si="0"/>
        <v>0.11990836356076492</v>
      </c>
      <c r="AI16" s="12">
        <f t="shared" si="0"/>
        <v>0.11322791648797444</v>
      </c>
      <c r="AJ16" s="12">
        <f t="shared" si="0"/>
        <v>0.10691965674029691</v>
      </c>
      <c r="AK16" s="12">
        <f t="shared" si="0"/>
        <v>0.10096284866883561</v>
      </c>
      <c r="AL16" s="12">
        <f t="shared" si="0"/>
        <v>9.5337911868588879E-2</v>
      </c>
      <c r="AM16" s="12">
        <f t="shared" si="0"/>
        <v>9.0026356816420086E-2</v>
      </c>
      <c r="AN16" s="12">
        <f t="shared" si="0"/>
        <v>8.5010724094825393E-2</v>
      </c>
      <c r="AO16" s="12">
        <f t="shared" si="0"/>
        <v>8.0274527001723689E-2</v>
      </c>
      <c r="AP16" s="12">
        <f t="shared" si="0"/>
        <v>7.5802197357623891E-2</v>
      </c>
      <c r="AQ16" s="12">
        <f t="shared" si="0"/>
        <v>7.15790343320339E-2</v>
      </c>
      <c r="AR16" s="12">
        <f t="shared" si="0"/>
        <v>6.7591156120900747E-2</v>
      </c>
      <c r="AS16" s="12">
        <f t="shared" si="0"/>
        <v>6.3825454316242453E-2</v>
      </c>
      <c r="AT16" s="12">
        <f t="shared" si="0"/>
        <v>6.0269550817981542E-2</v>
      </c>
      <c r="AU16" s="12">
        <f t="shared" si="0"/>
        <v>5.691175714634706E-2</v>
      </c>
    </row>
    <row r="17" spans="1:47" x14ac:dyDescent="0.25">
      <c r="B17" s="3" t="s">
        <v>19</v>
      </c>
      <c r="V17" s="20"/>
    </row>
    <row r="18" spans="1:47" x14ac:dyDescent="0.25">
      <c r="A18" s="3" t="s">
        <v>0</v>
      </c>
      <c r="C18" s="3">
        <v>2031</v>
      </c>
      <c r="D18" s="3">
        <v>2032</v>
      </c>
      <c r="E18" s="3">
        <v>2033</v>
      </c>
      <c r="F18" s="3">
        <v>2034</v>
      </c>
      <c r="G18" s="3">
        <v>2035</v>
      </c>
      <c r="H18" s="3">
        <v>2036</v>
      </c>
      <c r="I18" s="3">
        <v>2037</v>
      </c>
      <c r="J18" s="3">
        <v>2038</v>
      </c>
      <c r="K18" s="3">
        <v>2039</v>
      </c>
      <c r="L18" s="3">
        <v>2040</v>
      </c>
      <c r="M18" s="3">
        <v>2041</v>
      </c>
      <c r="N18" s="3">
        <v>2042</v>
      </c>
      <c r="O18" s="3">
        <v>2043</v>
      </c>
      <c r="P18" s="3">
        <v>2044</v>
      </c>
      <c r="Q18" s="3">
        <v>2045</v>
      </c>
      <c r="R18" s="3">
        <v>2046</v>
      </c>
      <c r="S18" s="3">
        <v>2047</v>
      </c>
      <c r="T18" s="3">
        <v>2048</v>
      </c>
      <c r="U18" s="3">
        <v>2049</v>
      </c>
      <c r="V18" s="3">
        <v>2050</v>
      </c>
      <c r="W18" s="3">
        <v>2051</v>
      </c>
      <c r="X18" s="3">
        <v>2052</v>
      </c>
      <c r="Y18" s="3">
        <v>2053</v>
      </c>
      <c r="Z18" s="3">
        <v>2054</v>
      </c>
      <c r="AA18" s="3">
        <v>2055</v>
      </c>
      <c r="AB18" s="3">
        <v>2056</v>
      </c>
      <c r="AC18" s="3">
        <v>2057</v>
      </c>
      <c r="AD18" s="3">
        <v>2058</v>
      </c>
      <c r="AE18" s="3">
        <v>2059</v>
      </c>
      <c r="AF18" s="3">
        <v>2060</v>
      </c>
      <c r="AG18" s="3">
        <v>2061</v>
      </c>
      <c r="AH18" s="3">
        <v>2062</v>
      </c>
      <c r="AI18" s="3">
        <v>2063</v>
      </c>
      <c r="AJ18" s="3">
        <v>2064</v>
      </c>
      <c r="AK18" s="3">
        <v>2065</v>
      </c>
      <c r="AL18" s="3">
        <v>2066</v>
      </c>
      <c r="AM18" s="3">
        <v>2067</v>
      </c>
      <c r="AN18" s="3">
        <v>2068</v>
      </c>
      <c r="AO18" s="3">
        <v>2069</v>
      </c>
      <c r="AP18" s="3">
        <v>2070</v>
      </c>
      <c r="AQ18" s="3">
        <v>2071</v>
      </c>
      <c r="AR18" s="3">
        <v>2072</v>
      </c>
      <c r="AS18" s="3">
        <v>2073</v>
      </c>
      <c r="AT18" s="3">
        <v>2074</v>
      </c>
      <c r="AU18" s="3">
        <v>2075</v>
      </c>
    </row>
    <row r="19" spans="1:47" x14ac:dyDescent="0.25">
      <c r="A19" s="21">
        <f>SUMPRODUCT(C19:AU19,$C$16:$AU$16)/1000</f>
        <v>684.90669324262979</v>
      </c>
      <c r="B19" s="2" t="s">
        <v>16</v>
      </c>
      <c r="C19" s="11">
        <f>$B$11</f>
        <v>58236.905616184093</v>
      </c>
      <c r="D19" s="11">
        <f t="shared" ref="D19:AU19" si="1">$B$11</f>
        <v>58236.905616184093</v>
      </c>
      <c r="E19" s="11">
        <f t="shared" si="1"/>
        <v>58236.905616184093</v>
      </c>
      <c r="F19" s="11">
        <f t="shared" si="1"/>
        <v>58236.905616184093</v>
      </c>
      <c r="G19" s="11">
        <f t="shared" si="1"/>
        <v>58236.905616184093</v>
      </c>
      <c r="H19" s="11">
        <f t="shared" si="1"/>
        <v>58236.905616184093</v>
      </c>
      <c r="I19" s="11">
        <f t="shared" si="1"/>
        <v>58236.905616184093</v>
      </c>
      <c r="J19" s="11">
        <f t="shared" si="1"/>
        <v>58236.905616184093</v>
      </c>
      <c r="K19" s="11">
        <f t="shared" si="1"/>
        <v>58236.905616184093</v>
      </c>
      <c r="L19" s="11">
        <f t="shared" si="1"/>
        <v>58236.905616184093</v>
      </c>
      <c r="M19" s="11">
        <f t="shared" si="1"/>
        <v>58236.905616184093</v>
      </c>
      <c r="N19" s="11">
        <f t="shared" si="1"/>
        <v>58236.905616184093</v>
      </c>
      <c r="O19" s="11">
        <f t="shared" si="1"/>
        <v>58236.905616184093</v>
      </c>
      <c r="P19" s="11">
        <f t="shared" si="1"/>
        <v>58236.905616184093</v>
      </c>
      <c r="Q19" s="11">
        <f t="shared" si="1"/>
        <v>58236.905616184093</v>
      </c>
      <c r="R19" s="11">
        <f t="shared" si="1"/>
        <v>58236.905616184093</v>
      </c>
      <c r="S19" s="11">
        <f t="shared" si="1"/>
        <v>58236.905616184093</v>
      </c>
      <c r="T19" s="11">
        <f t="shared" si="1"/>
        <v>58236.905616184093</v>
      </c>
      <c r="U19" s="11">
        <f t="shared" si="1"/>
        <v>58236.905616184093</v>
      </c>
      <c r="V19" s="11">
        <f t="shared" si="1"/>
        <v>58236.905616184093</v>
      </c>
      <c r="W19" s="11">
        <f t="shared" si="1"/>
        <v>58236.905616184093</v>
      </c>
      <c r="X19" s="11">
        <f t="shared" si="1"/>
        <v>58236.905616184093</v>
      </c>
      <c r="Y19" s="11">
        <f t="shared" si="1"/>
        <v>58236.905616184093</v>
      </c>
      <c r="Z19" s="11">
        <f t="shared" si="1"/>
        <v>58236.905616184093</v>
      </c>
      <c r="AA19" s="11">
        <f t="shared" si="1"/>
        <v>58236.905616184093</v>
      </c>
      <c r="AB19" s="11">
        <f t="shared" si="1"/>
        <v>58236.905616184093</v>
      </c>
      <c r="AC19" s="11">
        <f t="shared" si="1"/>
        <v>58236.905616184093</v>
      </c>
      <c r="AD19" s="11">
        <f t="shared" si="1"/>
        <v>58236.905616184093</v>
      </c>
      <c r="AE19" s="11">
        <f t="shared" si="1"/>
        <v>58236.905616184093</v>
      </c>
      <c r="AF19" s="11">
        <f t="shared" si="1"/>
        <v>58236.905616184093</v>
      </c>
      <c r="AG19" s="11">
        <f t="shared" si="1"/>
        <v>58236.905616184093</v>
      </c>
      <c r="AH19" s="11">
        <f t="shared" si="1"/>
        <v>58236.905616184093</v>
      </c>
      <c r="AI19" s="11">
        <f t="shared" si="1"/>
        <v>58236.905616184093</v>
      </c>
      <c r="AJ19" s="11">
        <f t="shared" si="1"/>
        <v>58236.905616184093</v>
      </c>
      <c r="AK19" s="11">
        <f t="shared" si="1"/>
        <v>58236.905616184093</v>
      </c>
      <c r="AL19" s="11">
        <f t="shared" si="1"/>
        <v>58236.905616184093</v>
      </c>
      <c r="AM19" s="11">
        <f t="shared" si="1"/>
        <v>58236.905616184093</v>
      </c>
      <c r="AN19" s="11">
        <f t="shared" si="1"/>
        <v>58236.905616184093</v>
      </c>
      <c r="AO19" s="11">
        <f t="shared" si="1"/>
        <v>58236.905616184093</v>
      </c>
      <c r="AP19" s="11">
        <f t="shared" si="1"/>
        <v>58236.905616184093</v>
      </c>
      <c r="AQ19" s="11">
        <f t="shared" si="1"/>
        <v>58236.905616184093</v>
      </c>
      <c r="AR19" s="11">
        <f t="shared" si="1"/>
        <v>58236.905616184093</v>
      </c>
      <c r="AS19" s="11">
        <f t="shared" si="1"/>
        <v>58236.905616184093</v>
      </c>
      <c r="AT19" s="11">
        <f t="shared" si="1"/>
        <v>58236.905616184093</v>
      </c>
      <c r="AU19" s="11">
        <f t="shared" si="1"/>
        <v>58236.905616184093</v>
      </c>
    </row>
    <row r="20" spans="1:47" x14ac:dyDescent="0.25">
      <c r="A20" s="21">
        <f>SUMPRODUCT(C20:AU20,$C$16:$AU$16)/1000</f>
        <v>55.397081789771299</v>
      </c>
      <c r="B20" s="2" t="s">
        <v>9</v>
      </c>
      <c r="C20" s="11">
        <f t="shared" ref="C20:AU20" si="2">$B$6*$B$4*VLOOKUP(C$18,$A$27:$B$76,2)</f>
        <v>3418.5537904657645</v>
      </c>
      <c r="D20" s="11">
        <f t="shared" si="2"/>
        <v>3497.4545417236254</v>
      </c>
      <c r="E20" s="11">
        <f t="shared" si="2"/>
        <v>3578.2087789389038</v>
      </c>
      <c r="F20" s="11">
        <f t="shared" si="2"/>
        <v>3660.8600430176061</v>
      </c>
      <c r="G20" s="11">
        <f t="shared" si="2"/>
        <v>3745.4528977008385</v>
      </c>
      <c r="H20" s="11">
        <f t="shared" si="2"/>
        <v>3832.0329535925971</v>
      </c>
      <c r="I20" s="11">
        <f t="shared" si="2"/>
        <v>3920.6468927519982</v>
      </c>
      <c r="J20" s="11">
        <f t="shared" si="2"/>
        <v>4011.3424938632174</v>
      </c>
      <c r="K20" s="11">
        <f t="shared" si="2"/>
        <v>4104.1686579967054</v>
      </c>
      <c r="L20" s="11">
        <f t="shared" si="2"/>
        <v>4199.1754349755656</v>
      </c>
      <c r="M20" s="11">
        <f t="shared" si="2"/>
        <v>4296.4140503613153</v>
      </c>
      <c r="N20" s="11">
        <f t="shared" si="2"/>
        <v>4395.9369330735844</v>
      </c>
      <c r="O20" s="11">
        <f t="shared" si="2"/>
        <v>4497.7977436586325</v>
      </c>
      <c r="P20" s="11">
        <f t="shared" si="2"/>
        <v>4602.0514032219307</v>
      </c>
      <c r="Q20" s="11">
        <f t="shared" si="2"/>
        <v>4708.7541230404149</v>
      </c>
      <c r="R20" s="11">
        <f t="shared" si="2"/>
        <v>4817.9634348703676</v>
      </c>
      <c r="S20" s="11">
        <f t="shared" si="2"/>
        <v>4929.7382219672727</v>
      </c>
      <c r="T20" s="11">
        <f t="shared" si="2"/>
        <v>5044.1387508343714</v>
      </c>
      <c r="U20" s="11">
        <f t="shared" si="2"/>
        <v>5161.2267037170332</v>
      </c>
      <c r="V20" s="11">
        <f t="shared" si="2"/>
        <v>5281.0652118604621</v>
      </c>
      <c r="W20" s="11">
        <f t="shared" si="2"/>
        <v>5403.7188895486743</v>
      </c>
      <c r="X20" s="11">
        <f t="shared" si="2"/>
        <v>5529.2538689430994</v>
      </c>
      <c r="Y20" s="11">
        <f t="shared" si="2"/>
        <v>5657.737835739581</v>
      </c>
      <c r="Z20" s="11">
        <f t="shared" si="2"/>
        <v>5789.2400656630161</v>
      </c>
      <c r="AA20" s="11">
        <f t="shared" si="2"/>
        <v>5923.8314618193008</v>
      </c>
      <c r="AB20" s="11">
        <f t="shared" si="2"/>
        <v>6061.5845929247189</v>
      </c>
      <c r="AC20" s="11">
        <f t="shared" si="2"/>
        <v>6202.5737324333986</v>
      </c>
      <c r="AD20" s="11">
        <f t="shared" si="2"/>
        <v>6346.8748985839256</v>
      </c>
      <c r="AE20" s="11">
        <f t="shared" si="2"/>
        <v>6494.565895386696</v>
      </c>
      <c r="AF20" s="11">
        <f t="shared" si="2"/>
        <v>6645.7263545741307</v>
      </c>
      <c r="AG20" s="11">
        <f t="shared" si="2"/>
        <v>6705.5665145741305</v>
      </c>
      <c r="AH20" s="11">
        <f t="shared" si="2"/>
        <v>6765.4066745741311</v>
      </c>
      <c r="AI20" s="11">
        <f t="shared" si="2"/>
        <v>6825.2468345741308</v>
      </c>
      <c r="AJ20" s="11">
        <f t="shared" si="2"/>
        <v>6885.0869945741306</v>
      </c>
      <c r="AK20" s="11">
        <f t="shared" si="2"/>
        <v>6944.9271545741312</v>
      </c>
      <c r="AL20" s="11">
        <f t="shared" si="2"/>
        <v>7004.767314574131</v>
      </c>
      <c r="AM20" s="11">
        <f t="shared" si="2"/>
        <v>7064.6074745741307</v>
      </c>
      <c r="AN20" s="11">
        <f t="shared" si="2"/>
        <v>7124.4476345741314</v>
      </c>
      <c r="AO20" s="11">
        <f t="shared" si="2"/>
        <v>7184.2877945741311</v>
      </c>
      <c r="AP20" s="11">
        <f t="shared" si="2"/>
        <v>7244.1279545741309</v>
      </c>
      <c r="AQ20" s="11">
        <f t="shared" si="2"/>
        <v>7303.9681145741315</v>
      </c>
      <c r="AR20" s="11">
        <f t="shared" si="2"/>
        <v>7363.8082745741312</v>
      </c>
      <c r="AS20" s="11">
        <f t="shared" si="2"/>
        <v>7423.648434574131</v>
      </c>
      <c r="AT20" s="11">
        <f t="shared" si="2"/>
        <v>7483.4885945741316</v>
      </c>
      <c r="AU20" s="11">
        <f t="shared" si="2"/>
        <v>7543.3287545741314</v>
      </c>
    </row>
    <row r="21" spans="1:47" x14ac:dyDescent="0.25">
      <c r="A21" s="21">
        <f>SUMPRODUCT(C21:AU21,$C$16:$AU$16)/1000</f>
        <v>2.3477042745016066</v>
      </c>
      <c r="B21" s="2" t="s">
        <v>10</v>
      </c>
      <c r="C21" s="10">
        <f t="shared" ref="C21:AU21" si="3">$B$7*$B$12*VLOOKUP(C$18,$A$27:$B$76,2)</f>
        <v>144.87682540656942</v>
      </c>
      <c r="D21" s="10">
        <f t="shared" si="3"/>
        <v>148.2206049885414</v>
      </c>
      <c r="E21" s="10">
        <f t="shared" si="3"/>
        <v>151.64293450066077</v>
      </c>
      <c r="F21" s="10">
        <f t="shared" si="3"/>
        <v>155.14565918761997</v>
      </c>
      <c r="G21" s="10">
        <f t="shared" si="3"/>
        <v>158.73066764141888</v>
      </c>
      <c r="H21" s="10">
        <f t="shared" si="3"/>
        <v>162.399892819652</v>
      </c>
      <c r="I21" s="10">
        <f t="shared" si="3"/>
        <v>166.15531308771679</v>
      </c>
      <c r="J21" s="10">
        <f t="shared" si="3"/>
        <v>169.9989532855046</v>
      </c>
      <c r="K21" s="10">
        <f t="shared" si="3"/>
        <v>173.93288581914965</v>
      </c>
      <c r="L21" s="10">
        <f t="shared" si="3"/>
        <v>177.95923177842496</v>
      </c>
      <c r="M21" s="10">
        <f t="shared" si="3"/>
        <v>182.08016208038705</v>
      </c>
      <c r="N21" s="10">
        <f t="shared" si="3"/>
        <v>186.29789863988685</v>
      </c>
      <c r="O21" s="10">
        <f t="shared" si="3"/>
        <v>190.61471556757689</v>
      </c>
      <c r="P21" s="10">
        <f t="shared" si="3"/>
        <v>195.03294039606206</v>
      </c>
      <c r="Q21" s="10">
        <f t="shared" si="3"/>
        <v>199.55495533485359</v>
      </c>
      <c r="R21" s="10">
        <f t="shared" si="3"/>
        <v>204.18319855480419</v>
      </c>
      <c r="S21" s="10">
        <f t="shared" si="3"/>
        <v>208.92016550271597</v>
      </c>
      <c r="T21" s="10">
        <f t="shared" si="3"/>
        <v>213.76841024683034</v>
      </c>
      <c r="U21" s="10">
        <f t="shared" si="3"/>
        <v>218.73054685392549</v>
      </c>
      <c r="V21" s="10">
        <f t="shared" si="3"/>
        <v>223.80925079876343</v>
      </c>
      <c r="W21" s="10">
        <f t="shared" si="3"/>
        <v>229.0072604066473</v>
      </c>
      <c r="X21" s="10">
        <f t="shared" si="3"/>
        <v>234.32737832986578</v>
      </c>
      <c r="Y21" s="10">
        <f t="shared" si="3"/>
        <v>239.77247305882167</v>
      </c>
      <c r="Z21" s="10">
        <f t="shared" si="3"/>
        <v>245.34548046865868</v>
      </c>
      <c r="AA21" s="10">
        <f t="shared" si="3"/>
        <v>251.04940540222063</v>
      </c>
      <c r="AB21" s="10">
        <f t="shared" si="3"/>
        <v>256.88732329019655</v>
      </c>
      <c r="AC21" s="10">
        <f t="shared" si="3"/>
        <v>262.86238180932503</v>
      </c>
      <c r="AD21" s="10">
        <f t="shared" si="3"/>
        <v>268.97780257955253</v>
      </c>
      <c r="AE21" s="10">
        <f t="shared" si="3"/>
        <v>275.23688290105946</v>
      </c>
      <c r="AF21" s="10">
        <f t="shared" si="3"/>
        <v>281.64299753209212</v>
      </c>
      <c r="AG21" s="10">
        <f t="shared" si="3"/>
        <v>284.17899753209213</v>
      </c>
      <c r="AH21" s="10">
        <f t="shared" si="3"/>
        <v>286.71499753209213</v>
      </c>
      <c r="AI21" s="10">
        <f t="shared" si="3"/>
        <v>289.25099753209213</v>
      </c>
      <c r="AJ21" s="10">
        <f t="shared" si="3"/>
        <v>291.78699753209213</v>
      </c>
      <c r="AK21" s="10">
        <f t="shared" si="3"/>
        <v>294.32299753209213</v>
      </c>
      <c r="AL21" s="10">
        <f t="shared" si="3"/>
        <v>296.85899753209213</v>
      </c>
      <c r="AM21" s="10">
        <f t="shared" si="3"/>
        <v>299.39499753209213</v>
      </c>
      <c r="AN21" s="10">
        <f t="shared" si="3"/>
        <v>301.93099753209214</v>
      </c>
      <c r="AO21" s="10">
        <f t="shared" si="3"/>
        <v>304.46699753209214</v>
      </c>
      <c r="AP21" s="10">
        <f t="shared" si="3"/>
        <v>307.00299753209214</v>
      </c>
      <c r="AQ21" s="10">
        <f t="shared" si="3"/>
        <v>309.53899753209214</v>
      </c>
      <c r="AR21" s="10">
        <f t="shared" si="3"/>
        <v>312.07499753209214</v>
      </c>
      <c r="AS21" s="10">
        <f t="shared" si="3"/>
        <v>314.61099753209214</v>
      </c>
      <c r="AT21" s="10">
        <f t="shared" si="3"/>
        <v>317.14699753209214</v>
      </c>
      <c r="AU21" s="10">
        <f t="shared" si="3"/>
        <v>319.68299753209214</v>
      </c>
    </row>
    <row r="22" spans="1:47" s="7" customFormat="1" x14ac:dyDescent="0.25">
      <c r="A22" s="23">
        <f>SUMPRODUCT(C22:AU22,$C$16:$AU$16)/1000</f>
        <v>104.08974336794171</v>
      </c>
      <c r="B22" s="24" t="s">
        <v>1</v>
      </c>
      <c r="C22" s="25">
        <f t="shared" ref="C22:AU22" si="4">$B$12*$B$13*1000/$B$14*VLOOKUP(C$18,$A$27:$C$76,3)/1000</f>
        <v>6071.6493506493516</v>
      </c>
      <c r="D22" s="25">
        <f t="shared" si="4"/>
        <v>6285.9428571428571</v>
      </c>
      <c r="E22" s="25">
        <f t="shared" si="4"/>
        <v>6524.0467532467537</v>
      </c>
      <c r="F22" s="25">
        <f t="shared" si="4"/>
        <v>6666.9090909090919</v>
      </c>
      <c r="G22" s="25">
        <f t="shared" si="4"/>
        <v>6881.2025974025973</v>
      </c>
      <c r="H22" s="25">
        <f t="shared" si="4"/>
        <v>7119.306493506494</v>
      </c>
      <c r="I22" s="25">
        <f t="shared" si="4"/>
        <v>7309.789610389611</v>
      </c>
      <c r="J22" s="25">
        <f t="shared" si="4"/>
        <v>7500.2727272727279</v>
      </c>
      <c r="K22" s="25">
        <f t="shared" si="4"/>
        <v>7666.9454545454555</v>
      </c>
      <c r="L22" s="25">
        <f t="shared" si="4"/>
        <v>7833.6181818181813</v>
      </c>
      <c r="M22" s="25">
        <f t="shared" si="4"/>
        <v>8024.1012987012991</v>
      </c>
      <c r="N22" s="25">
        <f t="shared" si="4"/>
        <v>8214.584415584417</v>
      </c>
      <c r="O22" s="25">
        <f t="shared" si="4"/>
        <v>8381.2571428571428</v>
      </c>
      <c r="P22" s="25">
        <f t="shared" si="4"/>
        <v>8547.9298701298703</v>
      </c>
      <c r="Q22" s="25">
        <f t="shared" si="4"/>
        <v>8762.2233766233767</v>
      </c>
      <c r="R22" s="25">
        <f t="shared" si="4"/>
        <v>8960.7768276186289</v>
      </c>
      <c r="S22" s="25">
        <f t="shared" si="4"/>
        <v>9163.8295331075842</v>
      </c>
      <c r="T22" s="25">
        <f t="shared" si="4"/>
        <v>9371.4834469515245</v>
      </c>
      <c r="U22" s="25">
        <f t="shared" si="4"/>
        <v>9583.8428333033207</v>
      </c>
      <c r="V22" s="25">
        <f t="shared" si="4"/>
        <v>9801.0143189590308</v>
      </c>
      <c r="W22" s="25">
        <f t="shared" si="4"/>
        <v>10023.106946895788</v>
      </c>
      <c r="X22" s="25">
        <f t="shared" si="4"/>
        <v>10250.232231022881</v>
      </c>
      <c r="Y22" s="25">
        <f t="shared" si="4"/>
        <v>10482.504212173475</v>
      </c>
      <c r="Z22" s="25">
        <f t="shared" si="4"/>
        <v>10720.039515365137</v>
      </c>
      <c r="AA22" s="25">
        <f t="shared" si="4"/>
        <v>10962.95740835789</v>
      </c>
      <c r="AB22" s="25">
        <f t="shared" si="4"/>
        <v>11211.379861539202</v>
      </c>
      <c r="AC22" s="25">
        <f t="shared" si="4"/>
        <v>11465.431609165966</v>
      </c>
      <c r="AD22" s="25">
        <f t="shared" si="4"/>
        <v>11725.240211994258</v>
      </c>
      <c r="AE22" s="25">
        <f t="shared" si="4"/>
        <v>11990.936121328277</v>
      </c>
      <c r="AF22" s="25">
        <f t="shared" si="4"/>
        <v>12262.652744520647</v>
      </c>
      <c r="AG22" s="25">
        <f t="shared" si="4"/>
        <v>12540.52651195697</v>
      </c>
      <c r="AH22" s="25">
        <f t="shared" si="4"/>
        <v>12824.696945558271</v>
      </c>
      <c r="AI22" s="25">
        <f t="shared" si="4"/>
        <v>13115.306728835689</v>
      </c>
      <c r="AJ22" s="25">
        <f t="shared" si="4"/>
        <v>13412.501778532662</v>
      </c>
      <c r="AK22" s="25">
        <f t="shared" si="4"/>
        <v>13716.431317890498</v>
      </c>
      <c r="AL22" s="25">
        <f t="shared" si="4"/>
        <v>14027.247951574174</v>
      </c>
      <c r="AM22" s="25">
        <f t="shared" si="4"/>
        <v>14345.10774229597</v>
      </c>
      <c r="AN22" s="25">
        <f t="shared" si="4"/>
        <v>14670.170289175385</v>
      </c>
      <c r="AO22" s="25">
        <f t="shared" si="4"/>
        <v>15002.598807874741</v>
      </c>
      <c r="AP22" s="25">
        <f t="shared" si="4"/>
        <v>15342.560212550627</v>
      </c>
      <c r="AQ22" s="25">
        <f t="shared" si="4"/>
        <v>15690.225199662413</v>
      </c>
      <c r="AR22" s="25">
        <f t="shared" si="4"/>
        <v>16045.768333679862</v>
      </c>
      <c r="AS22" s="25">
        <f t="shared" si="4"/>
        <v>16409.368134732893</v>
      </c>
      <c r="AT22" s="25">
        <f t="shared" si="4"/>
        <v>16781.2071682475</v>
      </c>
      <c r="AU22" s="25">
        <f t="shared" si="4"/>
        <v>17161.472136612843</v>
      </c>
    </row>
    <row r="23" spans="1:47" x14ac:dyDescent="0.25">
      <c r="A23" s="22">
        <f>SUM(A19:A22)</f>
        <v>846.74122267484427</v>
      </c>
      <c r="B23" s="26" t="s">
        <v>29</v>
      </c>
      <c r="C23" s="22">
        <f>SUM(C19:C22)/1000</f>
        <v>67.871985582705776</v>
      </c>
      <c r="D23" s="22">
        <f t="shared" ref="D23:AU23" si="5">SUM(D19:D22)/1000</f>
        <v>68.16852362003911</v>
      </c>
      <c r="E23" s="22">
        <f t="shared" si="5"/>
        <v>68.490804082870412</v>
      </c>
      <c r="F23" s="22">
        <f t="shared" si="5"/>
        <v>68.719820409298407</v>
      </c>
      <c r="G23" s="22">
        <f t="shared" si="5"/>
        <v>69.022291778928945</v>
      </c>
      <c r="H23" s="22">
        <f t="shared" si="5"/>
        <v>69.35064495610284</v>
      </c>
      <c r="I23" s="22">
        <f t="shared" si="5"/>
        <v>69.633497432413407</v>
      </c>
      <c r="J23" s="22">
        <f t="shared" si="5"/>
        <v>69.918519790605544</v>
      </c>
      <c r="K23" s="22">
        <f t="shared" si="5"/>
        <v>70.181952614545395</v>
      </c>
      <c r="L23" s="22">
        <f t="shared" si="5"/>
        <v>70.447658464756273</v>
      </c>
      <c r="M23" s="22">
        <f t="shared" si="5"/>
        <v>70.739501127327088</v>
      </c>
      <c r="N23" s="22">
        <f t="shared" si="5"/>
        <v>71.033724863481979</v>
      </c>
      <c r="O23" s="22">
        <f t="shared" si="5"/>
        <v>71.306575218267454</v>
      </c>
      <c r="P23" s="22">
        <f t="shared" si="5"/>
        <v>71.581919829931948</v>
      </c>
      <c r="Q23" s="22">
        <f t="shared" si="5"/>
        <v>71.907438071182739</v>
      </c>
      <c r="R23" s="22">
        <f t="shared" si="5"/>
        <v>72.219829077227899</v>
      </c>
      <c r="S23" s="22">
        <f t="shared" si="5"/>
        <v>72.539393536761665</v>
      </c>
      <c r="T23" s="22">
        <f t="shared" si="5"/>
        <v>72.866296224216811</v>
      </c>
      <c r="U23" s="22">
        <f t="shared" si="5"/>
        <v>73.200705700058379</v>
      </c>
      <c r="V23" s="22">
        <f t="shared" si="5"/>
        <v>73.542794397802354</v>
      </c>
      <c r="W23" s="22">
        <f t="shared" si="5"/>
        <v>73.8927387130352</v>
      </c>
      <c r="X23" s="22">
        <f t="shared" si="5"/>
        <v>74.250719094479933</v>
      </c>
      <c r="Y23" s="22">
        <f t="shared" si="5"/>
        <v>74.616920137155972</v>
      </c>
      <c r="Z23" s="22">
        <f t="shared" si="5"/>
        <v>74.991530677680899</v>
      </c>
      <c r="AA23" s="22">
        <f t="shared" si="5"/>
        <v>75.374743891763501</v>
      </c>
      <c r="AB23" s="22">
        <f t="shared" si="5"/>
        <v>75.766757393938207</v>
      </c>
      <c r="AC23" s="22">
        <f t="shared" si="5"/>
        <v>76.167773339592785</v>
      </c>
      <c r="AD23" s="22">
        <f t="shared" si="5"/>
        <v>76.577998529341826</v>
      </c>
      <c r="AE23" s="22">
        <f t="shared" si="5"/>
        <v>76.997644515800133</v>
      </c>
      <c r="AF23" s="22">
        <f t="shared" si="5"/>
        <v>77.426927712810965</v>
      </c>
      <c r="AG23" s="22">
        <f t="shared" si="5"/>
        <v>77.767177640247283</v>
      </c>
      <c r="AH23" s="22">
        <f t="shared" si="5"/>
        <v>78.113724233848586</v>
      </c>
      <c r="AI23" s="22">
        <f t="shared" si="5"/>
        <v>78.466710177126004</v>
      </c>
      <c r="AJ23" s="22">
        <f t="shared" si="5"/>
        <v>78.82628138682297</v>
      </c>
      <c r="AK23" s="22">
        <f t="shared" si="5"/>
        <v>79.192587086180808</v>
      </c>
      <c r="AL23" s="22">
        <f t="shared" si="5"/>
        <v>79.565779879864479</v>
      </c>
      <c r="AM23" s="22">
        <f t="shared" si="5"/>
        <v>79.946015830586276</v>
      </c>
      <c r="AN23" s="22">
        <f t="shared" si="5"/>
        <v>80.333454537465698</v>
      </c>
      <c r="AO23" s="22">
        <f t="shared" si="5"/>
        <v>80.728259216165057</v>
      </c>
      <c r="AP23" s="22">
        <f t="shared" si="5"/>
        <v>81.130596780840946</v>
      </c>
      <c r="AQ23" s="22">
        <f t="shared" si="5"/>
        <v>81.540637927952716</v>
      </c>
      <c r="AR23" s="22">
        <f t="shared" si="5"/>
        <v>81.958557221970182</v>
      </c>
      <c r="AS23" s="22">
        <f t="shared" si="5"/>
        <v>82.384533183023208</v>
      </c>
      <c r="AT23" s="22">
        <f t="shared" si="5"/>
        <v>82.818748376537812</v>
      </c>
      <c r="AU23" s="22">
        <f t="shared" si="5"/>
        <v>83.261389504903136</v>
      </c>
    </row>
    <row r="25" spans="1:47" x14ac:dyDescent="0.25">
      <c r="G25" s="2" t="s">
        <v>32</v>
      </c>
      <c r="H25" s="14">
        <f>$B$13</f>
        <v>9167</v>
      </c>
      <c r="I25" s="13">
        <v>15740</v>
      </c>
      <c r="J25" s="13"/>
    </row>
    <row r="26" spans="1:47" s="6" customFormat="1" ht="30" x14ac:dyDescent="0.25">
      <c r="B26" s="6" t="s">
        <v>18</v>
      </c>
      <c r="C26" s="6" t="s">
        <v>21</v>
      </c>
      <c r="E26" s="31"/>
      <c r="H26" s="6" t="s">
        <v>30</v>
      </c>
      <c r="I26" s="6" t="s">
        <v>31</v>
      </c>
    </row>
    <row r="27" spans="1:47" x14ac:dyDescent="0.25">
      <c r="A27">
        <v>2026</v>
      </c>
      <c r="B27" s="12">
        <v>1.02</v>
      </c>
      <c r="C27" s="9">
        <v>1.9220833333333338</v>
      </c>
      <c r="E27" s="32"/>
      <c r="G27">
        <v>2026</v>
      </c>
      <c r="H27" t="s">
        <v>34</v>
      </c>
      <c r="I27" s="10">
        <f t="shared" ref="I27:I58" si="6">($C27/$B$14)*1000*I$25/1000</f>
        <v>785.80757575757593</v>
      </c>
    </row>
    <row r="28" spans="1:47" x14ac:dyDescent="0.25">
      <c r="A28">
        <v>2027</v>
      </c>
      <c r="B28" s="12">
        <v>1.0422576193424966</v>
      </c>
      <c r="C28" s="9">
        <v>1.7358333333333336</v>
      </c>
      <c r="E28" s="32"/>
      <c r="G28">
        <v>2027</v>
      </c>
      <c r="H28" t="s">
        <v>34</v>
      </c>
      <c r="I28" s="10">
        <f t="shared" si="6"/>
        <v>709.66277056277067</v>
      </c>
    </row>
    <row r="29" spans="1:47" x14ac:dyDescent="0.25">
      <c r="A29">
        <v>2028</v>
      </c>
      <c r="B29" s="12">
        <v>1.0660080083661825</v>
      </c>
      <c r="C29" s="9">
        <v>1.115</v>
      </c>
      <c r="E29" s="32"/>
      <c r="G29">
        <v>2028</v>
      </c>
      <c r="H29" t="s">
        <v>34</v>
      </c>
      <c r="I29" s="10">
        <f t="shared" si="6"/>
        <v>455.84675324675322</v>
      </c>
    </row>
    <row r="30" spans="1:47" x14ac:dyDescent="0.25">
      <c r="A30">
        <v>2029</v>
      </c>
      <c r="B30" s="12">
        <v>1.0916226012947896</v>
      </c>
      <c r="C30" s="9">
        <v>1.145</v>
      </c>
      <c r="E30" s="32"/>
      <c r="G30">
        <v>2029</v>
      </c>
      <c r="H30" t="s">
        <v>34</v>
      </c>
      <c r="I30" s="10">
        <f t="shared" si="6"/>
        <v>468.11168831168828</v>
      </c>
    </row>
    <row r="31" spans="1:47" x14ac:dyDescent="0.25">
      <c r="A31">
        <v>2030</v>
      </c>
      <c r="B31" s="12">
        <v>1.1167964736785858</v>
      </c>
      <c r="C31" s="9">
        <v>1.2</v>
      </c>
      <c r="E31" s="32"/>
      <c r="G31">
        <v>2030</v>
      </c>
      <c r="H31" t="s">
        <v>34</v>
      </c>
      <c r="I31" s="10">
        <f t="shared" si="6"/>
        <v>490.59740259740255</v>
      </c>
    </row>
    <row r="32" spans="1:47" x14ac:dyDescent="0.25">
      <c r="A32">
        <v>2031</v>
      </c>
      <c r="B32" s="12">
        <v>1.1425617145628504</v>
      </c>
      <c r="C32" s="9">
        <v>1.2750000000000001</v>
      </c>
      <c r="E32" s="32"/>
      <c r="G32">
        <v>2031</v>
      </c>
      <c r="H32" s="10">
        <f t="shared" ref="H32:H76" si="7">($C32/$B$14)*1000*H$25/1000</f>
        <v>303.58246753246755</v>
      </c>
      <c r="I32" s="10">
        <f t="shared" si="6"/>
        <v>521.2597402597404</v>
      </c>
    </row>
    <row r="33" spans="1:9" x14ac:dyDescent="0.25">
      <c r="A33">
        <v>2032</v>
      </c>
      <c r="B33" s="12">
        <v>1.1689322159979605</v>
      </c>
      <c r="C33" s="9">
        <v>1.32</v>
      </c>
      <c r="E33" s="32"/>
      <c r="G33">
        <v>2032</v>
      </c>
      <c r="H33" s="10">
        <f t="shared" si="7"/>
        <v>314.29714285714283</v>
      </c>
      <c r="I33" s="10">
        <f t="shared" si="6"/>
        <v>539.65714285714284</v>
      </c>
    </row>
    <row r="34" spans="1:9" x14ac:dyDescent="0.25">
      <c r="A34">
        <v>2033</v>
      </c>
      <c r="B34" s="12">
        <v>1.1959221963774509</v>
      </c>
      <c r="C34" s="9">
        <v>1.37</v>
      </c>
      <c r="E34" s="32"/>
      <c r="G34">
        <v>2033</v>
      </c>
      <c r="H34" s="10">
        <f t="shared" si="7"/>
        <v>326.2023376623377</v>
      </c>
      <c r="I34" s="10">
        <f t="shared" si="6"/>
        <v>560.09870129870137</v>
      </c>
    </row>
    <row r="35" spans="1:9" x14ac:dyDescent="0.25">
      <c r="A35">
        <v>2034</v>
      </c>
      <c r="B35" s="12">
        <v>1.2235462081042585</v>
      </c>
      <c r="C35" s="9">
        <v>1.4000000000000001</v>
      </c>
      <c r="E35" s="32"/>
      <c r="G35">
        <v>2034</v>
      </c>
      <c r="H35" s="10">
        <f t="shared" si="7"/>
        <v>333.34545454545457</v>
      </c>
      <c r="I35" s="10">
        <f t="shared" si="6"/>
        <v>572.36363636363649</v>
      </c>
    </row>
    <row r="36" spans="1:9" x14ac:dyDescent="0.25">
      <c r="A36">
        <v>2035</v>
      </c>
      <c r="B36" s="12">
        <v>1.2518191454370573</v>
      </c>
      <c r="C36" s="9">
        <v>1.4450000000000001</v>
      </c>
      <c r="E36" s="32"/>
      <c r="G36">
        <v>2035</v>
      </c>
      <c r="H36" s="10">
        <f t="shared" si="7"/>
        <v>344.06012987012991</v>
      </c>
      <c r="I36" s="10">
        <f t="shared" si="6"/>
        <v>590.76103896103905</v>
      </c>
    </row>
    <row r="37" spans="1:9" x14ac:dyDescent="0.25">
      <c r="A37">
        <v>2036</v>
      </c>
      <c r="B37" s="12">
        <v>1.2807562525209149</v>
      </c>
      <c r="C37" s="9">
        <v>1.4950000000000001</v>
      </c>
      <c r="E37" s="32"/>
      <c r="G37">
        <v>2036</v>
      </c>
      <c r="H37" s="10">
        <f t="shared" si="7"/>
        <v>355.96532467532467</v>
      </c>
      <c r="I37" s="10">
        <f t="shared" si="6"/>
        <v>611.20259740259746</v>
      </c>
    </row>
    <row r="38" spans="1:9" x14ac:dyDescent="0.25">
      <c r="A38">
        <v>2037</v>
      </c>
      <c r="B38" s="12">
        <v>1.3103731316065994</v>
      </c>
      <c r="C38" s="9">
        <v>1.5350000000000001</v>
      </c>
      <c r="E38" s="32"/>
      <c r="G38">
        <v>2037</v>
      </c>
      <c r="H38" s="10">
        <f t="shared" si="7"/>
        <v>365.48948051948054</v>
      </c>
      <c r="I38" s="10">
        <f t="shared" si="6"/>
        <v>627.55584415584417</v>
      </c>
    </row>
    <row r="39" spans="1:9" x14ac:dyDescent="0.25">
      <c r="A39">
        <v>2038</v>
      </c>
      <c r="B39" s="12">
        <v>1.34068575146297</v>
      </c>
      <c r="C39" s="9">
        <v>1.575</v>
      </c>
      <c r="E39" s="32"/>
      <c r="G39">
        <v>2038</v>
      </c>
      <c r="H39" s="10">
        <f t="shared" si="7"/>
        <v>375.01363636363635</v>
      </c>
      <c r="I39" s="10">
        <f t="shared" si="6"/>
        <v>643.90909090909088</v>
      </c>
    </row>
    <row r="40" spans="1:9" x14ac:dyDescent="0.25">
      <c r="A40">
        <v>2039</v>
      </c>
      <c r="B40" s="12">
        <v>1.3717104559869846</v>
      </c>
      <c r="C40" s="9">
        <v>1.61</v>
      </c>
      <c r="G40">
        <v>2039</v>
      </c>
      <c r="H40" s="10">
        <f t="shared" si="7"/>
        <v>383.34727272727281</v>
      </c>
      <c r="I40" s="10">
        <f t="shared" si="6"/>
        <v>658.21818181818196</v>
      </c>
    </row>
    <row r="41" spans="1:9" x14ac:dyDescent="0.25">
      <c r="A41">
        <v>2040</v>
      </c>
      <c r="B41" s="12">
        <v>1.4034639730159697</v>
      </c>
      <c r="C41" s="9">
        <v>1.645</v>
      </c>
      <c r="D41" t="s">
        <v>26</v>
      </c>
      <c r="G41">
        <v>2040</v>
      </c>
      <c r="H41" s="10">
        <f t="shared" si="7"/>
        <v>391.68090909090904</v>
      </c>
      <c r="I41" s="10">
        <f t="shared" si="6"/>
        <v>672.5272727272727</v>
      </c>
    </row>
    <row r="42" spans="1:9" x14ac:dyDescent="0.25">
      <c r="A42">
        <v>2041</v>
      </c>
      <c r="B42" s="12">
        <v>1.4359634233469012</v>
      </c>
      <c r="C42" s="9">
        <v>1.6850000000000001</v>
      </c>
      <c r="D42" s="5">
        <f>(C42-C41)/C41</f>
        <v>2.4316109422492422E-2</v>
      </c>
      <c r="G42">
        <v>2041</v>
      </c>
      <c r="H42" s="10">
        <f t="shared" si="7"/>
        <v>401.20506493506491</v>
      </c>
      <c r="I42" s="10">
        <f t="shared" si="6"/>
        <v>688.88051948051941</v>
      </c>
    </row>
    <row r="43" spans="1:9" x14ac:dyDescent="0.25">
      <c r="A43">
        <v>2042</v>
      </c>
      <c r="B43" s="12">
        <v>1.4692263299675619</v>
      </c>
      <c r="C43" s="9">
        <v>1.7250000000000001</v>
      </c>
      <c r="D43" s="5">
        <f>(C43-C42)/C42</f>
        <v>2.3738872403560853E-2</v>
      </c>
      <c r="G43">
        <v>2042</v>
      </c>
      <c r="H43" s="10">
        <f t="shared" si="7"/>
        <v>410.72922077922078</v>
      </c>
      <c r="I43" s="10">
        <f t="shared" si="6"/>
        <v>705.23376623376635</v>
      </c>
    </row>
    <row r="44" spans="1:9" x14ac:dyDescent="0.25">
      <c r="A44">
        <v>2043</v>
      </c>
      <c r="B44" s="12">
        <v>1.5032706275045498</v>
      </c>
      <c r="C44" s="9">
        <v>1.76</v>
      </c>
      <c r="D44" s="5">
        <f>(C44-C43)/C43</f>
        <v>2.0289855072463722E-2</v>
      </c>
      <c r="G44">
        <v>2043</v>
      </c>
      <c r="H44" s="10">
        <f t="shared" si="7"/>
        <v>419.06285714285718</v>
      </c>
      <c r="I44" s="10">
        <f t="shared" si="6"/>
        <v>719.5428571428572</v>
      </c>
    </row>
    <row r="45" spans="1:9" x14ac:dyDescent="0.25">
      <c r="A45">
        <v>2044</v>
      </c>
      <c r="B45" s="12">
        <v>1.5381146718932339</v>
      </c>
      <c r="C45" s="9">
        <v>1.7949999999999999</v>
      </c>
      <c r="D45" s="5">
        <f>(C45-C44)/C44</f>
        <v>1.9886363636363591E-2</v>
      </c>
      <c r="E45" t="s">
        <v>27</v>
      </c>
      <c r="G45">
        <v>2044</v>
      </c>
      <c r="H45" s="10">
        <f t="shared" si="7"/>
        <v>427.39649350649353</v>
      </c>
      <c r="I45" s="10">
        <f t="shared" si="6"/>
        <v>733.85194805194794</v>
      </c>
    </row>
    <row r="46" spans="1:9" x14ac:dyDescent="0.25">
      <c r="A46">
        <v>2045</v>
      </c>
      <c r="B46" s="12">
        <v>1.5737772502748706</v>
      </c>
      <c r="C46" s="17">
        <v>1.84</v>
      </c>
      <c r="D46" s="5">
        <f>(C46-C45)/C45</f>
        <v>2.5069637883008443E-2</v>
      </c>
      <c r="E46" s="19">
        <f>AVERAGE(D42:D46)</f>
        <v>2.2660167683577807E-2</v>
      </c>
      <c r="G46">
        <v>2045</v>
      </c>
      <c r="H46" s="10">
        <f t="shared" si="7"/>
        <v>438.11116883116892</v>
      </c>
      <c r="I46" s="10">
        <f t="shared" si="6"/>
        <v>752.24935064935084</v>
      </c>
    </row>
    <row r="47" spans="1:9" x14ac:dyDescent="0.25">
      <c r="A47">
        <v>2046</v>
      </c>
      <c r="B47" s="12">
        <v>1.6102775911262162</v>
      </c>
      <c r="C47" s="16">
        <f>C46*(1+$E$46)</f>
        <v>1.8816947085377833</v>
      </c>
      <c r="E47" s="32"/>
      <c r="G47">
        <v>2046</v>
      </c>
      <c r="H47" s="10">
        <f t="shared" si="7"/>
        <v>448.03884138093144</v>
      </c>
      <c r="I47" s="10">
        <f t="shared" si="6"/>
        <v>769.29544707492755</v>
      </c>
    </row>
    <row r="48" spans="1:9" x14ac:dyDescent="0.25">
      <c r="A48">
        <v>2047</v>
      </c>
      <c r="B48" s="12">
        <v>1.6476353746270975</v>
      </c>
      <c r="C48" s="16">
        <f t="shared" ref="C48:C76" si="8">C47*(1+$E$46)</f>
        <v>1.9243342261625505</v>
      </c>
      <c r="E48" s="32"/>
      <c r="G48">
        <v>2047</v>
      </c>
      <c r="H48" s="10">
        <f t="shared" si="7"/>
        <v>458.19147665537929</v>
      </c>
      <c r="I48" s="10">
        <f t="shared" si="6"/>
        <v>786.72781090385843</v>
      </c>
    </row>
    <row r="49" spans="1:9" x14ac:dyDescent="0.25">
      <c r="A49">
        <v>2048</v>
      </c>
      <c r="B49" s="12">
        <v>1.6858707432715327</v>
      </c>
      <c r="C49" s="16">
        <f t="shared" si="8"/>
        <v>1.9679399624066418</v>
      </c>
      <c r="E49" s="32"/>
      <c r="G49">
        <v>2048</v>
      </c>
      <c r="H49" s="10">
        <f t="shared" si="7"/>
        <v>468.57417234757617</v>
      </c>
      <c r="I49" s="10">
        <f t="shared" si="6"/>
        <v>804.5551950202738</v>
      </c>
    </row>
    <row r="50" spans="1:9" x14ac:dyDescent="0.25">
      <c r="A50">
        <v>2049</v>
      </c>
      <c r="B50" s="12">
        <v>1.7250043127281189</v>
      </c>
      <c r="C50" s="16">
        <f t="shared" si="8"/>
        <v>2.0125338119459903</v>
      </c>
      <c r="E50" s="32"/>
      <c r="G50">
        <v>2049</v>
      </c>
      <c r="H50" s="10">
        <f t="shared" si="7"/>
        <v>479.19214166516605</v>
      </c>
      <c r="I50" s="10">
        <f t="shared" si="6"/>
        <v>822.78655065012697</v>
      </c>
    </row>
    <row r="51" spans="1:9" x14ac:dyDescent="0.25">
      <c r="A51">
        <v>2050</v>
      </c>
      <c r="B51" s="12">
        <v>1.7650571829555477</v>
      </c>
      <c r="C51" s="16">
        <f t="shared" si="8"/>
        <v>2.0581381655935567</v>
      </c>
      <c r="E51" s="32"/>
      <c r="G51">
        <v>2050</v>
      </c>
      <c r="H51" s="10">
        <f t="shared" si="7"/>
        <v>490.05071594795152</v>
      </c>
      <c r="I51" s="10">
        <f t="shared" si="6"/>
        <v>841.43103185565155</v>
      </c>
    </row>
    <row r="52" spans="1:9" x14ac:dyDescent="0.25">
      <c r="A52">
        <v>2051</v>
      </c>
      <c r="B52" s="12">
        <v>1.8060509495792374</v>
      </c>
      <c r="C52" s="16">
        <f t="shared" si="8"/>
        <v>2.104775921541878</v>
      </c>
      <c r="E52" s="32"/>
      <c r="G52">
        <v>2051</v>
      </c>
      <c r="H52" s="10">
        <f t="shared" si="7"/>
        <v>501.1553473447895</v>
      </c>
      <c r="I52" s="10">
        <f t="shared" si="6"/>
        <v>860.49800013166657</v>
      </c>
    </row>
    <row r="53" spans="1:9" x14ac:dyDescent="0.25">
      <c r="A53">
        <v>2052</v>
      </c>
      <c r="B53" s="12">
        <v>1.848007715535219</v>
      </c>
      <c r="C53" s="16">
        <f t="shared" si="8"/>
        <v>2.1524704968603738</v>
      </c>
      <c r="E53" s="32"/>
      <c r="G53">
        <v>2052</v>
      </c>
      <c r="H53" s="10">
        <f t="shared" si="7"/>
        <v>512.51161155114403</v>
      </c>
      <c r="I53" s="10">
        <f t="shared" si="6"/>
        <v>879.99702910603332</v>
      </c>
    </row>
    <row r="54" spans="1:9" x14ac:dyDescent="0.25">
      <c r="A54">
        <v>2053</v>
      </c>
      <c r="B54" s="12">
        <v>1.8909501029875526</v>
      </c>
      <c r="C54" s="16">
        <f t="shared" si="8"/>
        <v>2.201245839253184</v>
      </c>
      <c r="E54" s="32"/>
      <c r="G54">
        <v>2053</v>
      </c>
      <c r="H54" s="10">
        <f t="shared" si="7"/>
        <v>524.12521060867368</v>
      </c>
      <c r="I54" s="10">
        <f t="shared" si="6"/>
        <v>899.93790934662638</v>
      </c>
    </row>
    <row r="55" spans="1:9" x14ac:dyDescent="0.25">
      <c r="A55">
        <v>2054</v>
      </c>
      <c r="B55" s="12">
        <v>1.9349012655256994</v>
      </c>
      <c r="C55" s="16">
        <f t="shared" si="8"/>
        <v>2.2511264390834391</v>
      </c>
      <c r="E55" s="32"/>
      <c r="G55">
        <v>2054</v>
      </c>
      <c r="H55" s="10">
        <f t="shared" si="7"/>
        <v>536.00197576825667</v>
      </c>
      <c r="I55" s="10">
        <f t="shared" si="6"/>
        <v>920.33065327722932</v>
      </c>
    </row>
    <row r="56" spans="1:9" x14ac:dyDescent="0.25">
      <c r="A56">
        <v>2055</v>
      </c>
      <c r="B56" s="12">
        <v>1.9798849006484278</v>
      </c>
      <c r="C56" s="16">
        <f t="shared" si="8"/>
        <v>2.3021373416700053</v>
      </c>
      <c r="E56" s="32"/>
      <c r="G56">
        <v>2055</v>
      </c>
      <c r="H56" s="10">
        <f t="shared" si="7"/>
        <v>548.14787041789452</v>
      </c>
      <c r="I56" s="10">
        <f t="shared" si="6"/>
        <v>941.18550020482826</v>
      </c>
    </row>
    <row r="57" spans="1:9" x14ac:dyDescent="0.25">
      <c r="A57">
        <v>2056</v>
      </c>
      <c r="B57" s="12">
        <v>2.0259252625409823</v>
      </c>
      <c r="C57" s="16">
        <f t="shared" si="8"/>
        <v>2.3543041598628736</v>
      </c>
      <c r="E57" s="32"/>
      <c r="G57">
        <v>2056</v>
      </c>
      <c r="H57" s="10">
        <f t="shared" si="7"/>
        <v>560.56899307696006</v>
      </c>
      <c r="I57" s="10">
        <f t="shared" si="6"/>
        <v>962.51292146082153</v>
      </c>
    </row>
    <row r="58" spans="1:9" x14ac:dyDescent="0.25">
      <c r="A58">
        <v>2057</v>
      </c>
      <c r="B58" s="12">
        <v>2.0730471751524058</v>
      </c>
      <c r="C58" s="16">
        <f t="shared" si="8"/>
        <v>2.4076530869035109</v>
      </c>
      <c r="E58" s="32"/>
      <c r="G58">
        <v>2057</v>
      </c>
      <c r="H58" s="10">
        <f t="shared" si="7"/>
        <v>573.27158045829833</v>
      </c>
      <c r="I58" s="10">
        <f t="shared" si="6"/>
        <v>984.32362565873416</v>
      </c>
    </row>
    <row r="59" spans="1:9" x14ac:dyDescent="0.25">
      <c r="A59">
        <v>2058</v>
      </c>
      <c r="B59" s="12">
        <v>2.1212760455800672</v>
      </c>
      <c r="C59" s="16">
        <f t="shared" si="8"/>
        <v>2.462210909576628</v>
      </c>
      <c r="E59" s="32"/>
      <c r="G59">
        <v>2058</v>
      </c>
      <c r="H59" s="10">
        <f t="shared" si="7"/>
        <v>586.26201059971299</v>
      </c>
      <c r="I59" s="10">
        <f t="shared" ref="I59:I76" si="9">($C59/$B$14)*1000*I$25/1000</f>
        <v>1006.6285640710684</v>
      </c>
    </row>
    <row r="60" spans="1:9" x14ac:dyDescent="0.25">
      <c r="A60">
        <v>2059</v>
      </c>
      <c r="B60" s="12">
        <v>2.1706378777686077</v>
      </c>
      <c r="C60" s="16">
        <f t="shared" si="8"/>
        <v>2.518005021659969</v>
      </c>
      <c r="E60" s="32"/>
      <c r="G60">
        <v>2059</v>
      </c>
      <c r="H60" s="10">
        <f t="shared" si="7"/>
        <v>599.54680606641398</v>
      </c>
      <c r="I60" s="10">
        <f t="shared" si="9"/>
        <v>1029.4389361279977</v>
      </c>
    </row>
    <row r="61" spans="1:9" x14ac:dyDescent="0.25">
      <c r="A61">
        <v>2060</v>
      </c>
      <c r="B61" s="18">
        <v>2.2211592865306948</v>
      </c>
      <c r="C61" s="16">
        <f t="shared" si="8"/>
        <v>2.575063437678875</v>
      </c>
      <c r="E61" s="32"/>
      <c r="G61">
        <v>2060</v>
      </c>
      <c r="H61" s="10">
        <f t="shared" si="7"/>
        <v>613.13263722603244</v>
      </c>
      <c r="I61" s="10">
        <f t="shared" si="9"/>
        <v>1052.7661950406623</v>
      </c>
    </row>
    <row r="62" spans="1:9" x14ac:dyDescent="0.25">
      <c r="A62">
        <v>2061</v>
      </c>
      <c r="B62" s="4">
        <f>B61+0.02</f>
        <v>2.2411592865306948</v>
      </c>
      <c r="C62" s="16">
        <f t="shared" si="8"/>
        <v>2.6334148069725285</v>
      </c>
      <c r="E62" s="32"/>
      <c r="F62" s="32"/>
      <c r="G62">
        <v>2061</v>
      </c>
      <c r="H62" s="10">
        <f t="shared" si="7"/>
        <v>627.02632559784854</v>
      </c>
      <c r="I62" s="10">
        <f t="shared" si="9"/>
        <v>1076.6220535518858</v>
      </c>
    </row>
    <row r="63" spans="1:9" x14ac:dyDescent="0.25">
      <c r="A63">
        <v>2062</v>
      </c>
      <c r="B63" s="4">
        <f t="shared" ref="B63:B76" si="10">B62+0.02</f>
        <v>2.2611592865306949</v>
      </c>
      <c r="C63" s="16">
        <f t="shared" si="8"/>
        <v>2.6930884280789429</v>
      </c>
      <c r="E63" s="32"/>
      <c r="G63">
        <v>2062</v>
      </c>
      <c r="H63" s="10">
        <f t="shared" si="7"/>
        <v>641.23484727791333</v>
      </c>
      <c r="I63" s="10">
        <f t="shared" si="9"/>
        <v>1101.018489817209</v>
      </c>
    </row>
    <row r="64" spans="1:9" x14ac:dyDescent="0.25">
      <c r="A64">
        <v>2063</v>
      </c>
      <c r="B64" s="4">
        <f t="shared" si="10"/>
        <v>2.2811592865306949</v>
      </c>
      <c r="C64" s="16">
        <f t="shared" si="8"/>
        <v>2.7541142634459148</v>
      </c>
      <c r="E64" s="32"/>
      <c r="G64">
        <v>2063</v>
      </c>
      <c r="H64" s="10">
        <f t="shared" si="7"/>
        <v>655.76533644178437</v>
      </c>
      <c r="I64" s="10">
        <f t="shared" si="9"/>
        <v>1125.9677534191869</v>
      </c>
    </row>
    <row r="65" spans="1:9" x14ac:dyDescent="0.25">
      <c r="A65">
        <v>2064</v>
      </c>
      <c r="B65" s="4">
        <f t="shared" si="10"/>
        <v>2.3011592865306949</v>
      </c>
      <c r="C65" s="16">
        <f t="shared" si="8"/>
        <v>2.8165229544753325</v>
      </c>
      <c r="E65" s="32"/>
      <c r="G65">
        <v>2064</v>
      </c>
      <c r="H65" s="10">
        <f t="shared" si="7"/>
        <v>670.62508892663311</v>
      </c>
      <c r="I65" s="10">
        <f t="shared" si="9"/>
        <v>1151.4823715179673</v>
      </c>
    </row>
    <row r="66" spans="1:9" x14ac:dyDescent="0.25">
      <c r="A66">
        <v>2065</v>
      </c>
      <c r="B66" s="4">
        <f t="shared" si="10"/>
        <v>2.3211592865306949</v>
      </c>
      <c r="C66" s="16">
        <f t="shared" si="8"/>
        <v>2.8803458369083894</v>
      </c>
      <c r="E66" s="32"/>
      <c r="G66">
        <v>2065</v>
      </c>
      <c r="H66" s="10">
        <f t="shared" si="7"/>
        <v>685.82156589452495</v>
      </c>
      <c r="I66" s="10">
        <f t="shared" si="9"/>
        <v>1177.5751551412482</v>
      </c>
    </row>
    <row r="67" spans="1:9" x14ac:dyDescent="0.25">
      <c r="A67">
        <v>2066</v>
      </c>
      <c r="B67" s="4">
        <f t="shared" si="10"/>
        <v>2.3411592865306949</v>
      </c>
      <c r="C67" s="16">
        <f t="shared" si="8"/>
        <v>2.945614956559429</v>
      </c>
      <c r="G67">
        <v>2066</v>
      </c>
      <c r="H67" s="10">
        <f t="shared" si="7"/>
        <v>701.36239757870874</v>
      </c>
      <c r="I67" s="10">
        <f t="shared" si="9"/>
        <v>1204.2592056167641</v>
      </c>
    </row>
    <row r="68" spans="1:9" x14ac:dyDescent="0.25">
      <c r="A68">
        <v>2067</v>
      </c>
      <c r="B68" s="4">
        <f t="shared" si="10"/>
        <v>2.361159286530695</v>
      </c>
      <c r="C68" s="16">
        <f t="shared" si="8"/>
        <v>3.0123630854063204</v>
      </c>
      <c r="G68">
        <v>2067</v>
      </c>
      <c r="H68" s="10">
        <f t="shared" si="7"/>
        <v>717.25538711479851</v>
      </c>
      <c r="I68" s="10">
        <f t="shared" si="9"/>
        <v>1231.5479211505324</v>
      </c>
    </row>
    <row r="69" spans="1:9" x14ac:dyDescent="0.25">
      <c r="A69">
        <v>2068</v>
      </c>
      <c r="B69" s="4">
        <f t="shared" si="10"/>
        <v>2.381159286530695</v>
      </c>
      <c r="C69" s="16">
        <f t="shared" si="8"/>
        <v>3.0806237380454475</v>
      </c>
      <c r="G69">
        <v>2068</v>
      </c>
      <c r="H69" s="10">
        <f t="shared" si="7"/>
        <v>733.50851445876924</v>
      </c>
      <c r="I69" s="10">
        <f t="shared" si="9"/>
        <v>1259.4550035541647</v>
      </c>
    </row>
    <row r="70" spans="1:9" x14ac:dyDescent="0.25">
      <c r="A70">
        <v>2069</v>
      </c>
      <c r="B70" s="4">
        <f t="shared" si="10"/>
        <v>2.401159286530695</v>
      </c>
      <c r="C70" s="16">
        <f t="shared" si="8"/>
        <v>3.1504311885195677</v>
      </c>
      <c r="G70">
        <v>2069</v>
      </c>
      <c r="H70" s="10">
        <f t="shared" si="7"/>
        <v>750.129940393737</v>
      </c>
      <c r="I70" s="10">
        <f t="shared" si="9"/>
        <v>1287.994465124623</v>
      </c>
    </row>
    <row r="71" spans="1:9" x14ac:dyDescent="0.25">
      <c r="A71">
        <v>2070</v>
      </c>
      <c r="B71" s="4">
        <f t="shared" si="10"/>
        <v>2.421159286530695</v>
      </c>
      <c r="C71" s="16">
        <f t="shared" si="8"/>
        <v>3.2218204875269945</v>
      </c>
      <c r="G71">
        <v>2070</v>
      </c>
      <c r="H71" s="10">
        <f t="shared" si="7"/>
        <v>767.12801062753135</v>
      </c>
      <c r="I71" s="10">
        <f t="shared" si="9"/>
        <v>1317.180635679867</v>
      </c>
    </row>
    <row r="72" spans="1:9" x14ac:dyDescent="0.25">
      <c r="A72">
        <v>2071</v>
      </c>
      <c r="B72" s="4">
        <f t="shared" si="10"/>
        <v>2.441159286530695</v>
      </c>
      <c r="C72" s="16">
        <f t="shared" si="8"/>
        <v>3.2948274800207424</v>
      </c>
      <c r="G72">
        <v>2071</v>
      </c>
      <c r="H72" s="10">
        <f t="shared" si="7"/>
        <v>784.51125998312068</v>
      </c>
      <c r="I72" s="10">
        <f t="shared" si="9"/>
        <v>1347.0281697539347</v>
      </c>
    </row>
    <row r="73" spans="1:9" x14ac:dyDescent="0.25">
      <c r="A73">
        <v>2072</v>
      </c>
      <c r="B73" s="4">
        <f t="shared" si="10"/>
        <v>2.461159286530695</v>
      </c>
      <c r="C73" s="16">
        <f t="shared" si="8"/>
        <v>3.3694888232064728</v>
      </c>
      <c r="G73">
        <v>2072</v>
      </c>
      <c r="H73" s="10">
        <f t="shared" si="7"/>
        <v>802.2884166839932</v>
      </c>
      <c r="I73" s="10">
        <f t="shared" si="9"/>
        <v>1377.5520539550619</v>
      </c>
    </row>
    <row r="74" spans="1:9" x14ac:dyDescent="0.25">
      <c r="A74">
        <v>2073</v>
      </c>
      <c r="B74" s="4">
        <f t="shared" si="10"/>
        <v>2.4811592865306951</v>
      </c>
      <c r="C74" s="16">
        <f t="shared" si="8"/>
        <v>3.4458420049482728</v>
      </c>
      <c r="G74">
        <v>2073</v>
      </c>
      <c r="H74" s="10">
        <f t="shared" si="7"/>
        <v>820.46840673664451</v>
      </c>
      <c r="I74" s="10">
        <f t="shared" si="9"/>
        <v>1408.7676144905406</v>
      </c>
    </row>
    <row r="75" spans="1:9" x14ac:dyDescent="0.25">
      <c r="A75">
        <v>2074</v>
      </c>
      <c r="B75" s="4">
        <f t="shared" si="10"/>
        <v>2.5011592865306951</v>
      </c>
      <c r="C75" s="16">
        <f t="shared" si="8"/>
        <v>3.5239253625915166</v>
      </c>
      <c r="G75">
        <v>2074</v>
      </c>
      <c r="H75" s="10">
        <f t="shared" si="7"/>
        <v>839.06035841237485</v>
      </c>
      <c r="I75" s="10">
        <f t="shared" si="9"/>
        <v>1440.6905248620901</v>
      </c>
    </row>
    <row r="76" spans="1:9" x14ac:dyDescent="0.25">
      <c r="A76">
        <v>2075</v>
      </c>
      <c r="B76" s="4">
        <f t="shared" si="10"/>
        <v>2.5211592865306951</v>
      </c>
      <c r="C76" s="16">
        <f t="shared" si="8"/>
        <v>3.603778102212253</v>
      </c>
      <c r="G76">
        <v>2075</v>
      </c>
      <c r="H76" s="10">
        <f t="shared" si="7"/>
        <v>858.07360683064212</v>
      </c>
      <c r="I76" s="10">
        <f t="shared" si="9"/>
        <v>1473.3368137356069</v>
      </c>
    </row>
    <row r="78" spans="1:9" x14ac:dyDescent="0.25">
      <c r="A78" s="35" t="s">
        <v>35</v>
      </c>
    </row>
    <row r="79" spans="1:9" x14ac:dyDescent="0.25">
      <c r="A79" s="36" t="s">
        <v>39</v>
      </c>
    </row>
    <row r="80" spans="1:9" x14ac:dyDescent="0.25">
      <c r="A80" t="s">
        <v>38</v>
      </c>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F49589E75A4E45BF3FA5AF47E6C153" ma:contentTypeVersion="14" ma:contentTypeDescription="Create a new document." ma:contentTypeScope="" ma:versionID="89e9fa96dda60c2aff3d182223522d3f">
  <xsd:schema xmlns:xsd="http://www.w3.org/2001/XMLSchema" xmlns:xs="http://www.w3.org/2001/XMLSchema" xmlns:p="http://schemas.microsoft.com/office/2006/metadata/properties" xmlns:ns2="06C2E51E-59A1-4EFE-8EE3-E1BA41A5AC5F" xmlns:ns4="e99d5e2b-6807-428e-89e8-c4050aaa2c2e" xmlns:ns5="http://schemas.microsoft.com/sharepoint/v4" targetNamespace="http://schemas.microsoft.com/office/2006/metadata/properties" ma:root="true" ma:fieldsID="84cd4e6dd4754f4038537ab57ca7d3b1" ns2:_="" ns4:_="" ns5:_="">
    <xsd:import namespace="06C2E51E-59A1-4EFE-8EE3-E1BA41A5AC5F"/>
    <xsd:import namespace="e99d5e2b-6807-428e-89e8-c4050aaa2c2e"/>
    <xsd:import namespace="http://schemas.microsoft.com/sharepoint/v4"/>
    <xsd:element name="properties">
      <xsd:complexType>
        <xsd:sequence>
          <xsd:element name="documentManagement">
            <xsd:complexType>
              <xsd:all>
                <xsd:element ref="ns2:Writer" minOccurs="0"/>
                <xsd:element ref="ns4:SharedWithUsers" minOccurs="0"/>
                <xsd:element ref="ns4:SharedWithDetails"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C2E51E-59A1-4EFE-8EE3-E1BA41A5AC5F" elementFormDefault="qualified">
    <xsd:import namespace="http://schemas.microsoft.com/office/2006/documentManagement/types"/>
    <xsd:import namespace="http://schemas.microsoft.com/office/infopath/2007/PartnerControls"/>
    <xsd:element name="Writer" ma:index="8" nillable="true" ma:displayName="Writer" ma:internalName="Writ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9d5e2b-6807-428e-89e8-c4050aaa2c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Writer xmlns="06C2E51E-59A1-4EFE-8EE3-E1BA41A5AC5F" xsi:nil="true"/>
  </documentManagement>
</p:properties>
</file>

<file path=customXml/itemProps1.xml><?xml version="1.0" encoding="utf-8"?>
<ds:datastoreItem xmlns:ds="http://schemas.openxmlformats.org/officeDocument/2006/customXml" ds:itemID="{2E956C81-FD93-4FA2-B1CE-8BA8522B5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C2E51E-59A1-4EFE-8EE3-E1BA41A5AC5F"/>
    <ds:schemaRef ds:uri="e99d5e2b-6807-428e-89e8-c4050aaa2c2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29B146-6889-4CE8-84FA-499FACE8011C}">
  <ds:schemaRefs>
    <ds:schemaRef ds:uri="http://schemas.microsoft.com/sharepoint/v3/contenttype/forms"/>
  </ds:schemaRefs>
</ds:datastoreItem>
</file>

<file path=customXml/itemProps3.xml><?xml version="1.0" encoding="utf-8"?>
<ds:datastoreItem xmlns:ds="http://schemas.openxmlformats.org/officeDocument/2006/customXml" ds:itemID="{2C654ADF-9EBE-4FCE-A864-866C9AFDEDA4}">
  <ds:schemaRefs>
    <ds:schemaRef ds:uri="http://schemas.microsoft.com/office/2006/metadata/properties"/>
    <ds:schemaRef ds:uri="06C2E51E-59A1-4EFE-8EE3-E1BA41A5AC5F"/>
    <ds:schemaRef ds:uri="http://schemas.microsoft.com/office/2006/documentManagement/types"/>
    <ds:schemaRef ds:uri="http://purl.org/dc/elements/1.1/"/>
    <ds:schemaRef ds:uri="http://schemas.openxmlformats.org/package/2006/metadata/core-properties"/>
    <ds:schemaRef ds:uri="http://purl.org/dc/dcmitype/"/>
    <ds:schemaRef ds:uri="http://schemas.microsoft.com/sharepoint/v4"/>
    <ds:schemaRef ds:uri="http://www.w3.org/XML/1998/namespace"/>
    <ds:schemaRef ds:uri="http://purl.org/dc/terms/"/>
    <ds:schemaRef ds:uri="http://schemas.microsoft.com/office/infopath/2007/PartnerControls"/>
    <ds:schemaRef ds:uri="e99d5e2b-6807-428e-89e8-c4050aaa2c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Annual Costs and NPV Calc</vt:lpstr>
    </vt:vector>
  </TitlesOfParts>
  <Company>NL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Amy Pryse-Phillips</dc:creator>
  <cp:lastModifiedBy>Samantha Tobin</cp:lastModifiedBy>
  <dcterms:created xsi:type="dcterms:W3CDTF">2026-06-24T17:32:59Z</dcterms:created>
  <dcterms:modified xsi:type="dcterms:W3CDTF">2026-07-02T13:45:32Z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0x01010099F49589E75A4E45BF3FA5AF47E6C153</vt:lpwstr>
  </property>
</Properties>
</file>